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2\AG-KIUC Set 2\2-9\"/>
    </mc:Choice>
  </mc:AlternateContent>
  <bookViews>
    <workbookView xWindow="0" yWindow="0" windowWidth="28800" windowHeight="12300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F3" i="1"/>
  <c r="G3" i="1" s="1"/>
  <c r="H3" i="1"/>
  <c r="S3" i="1"/>
  <c r="N3" i="1"/>
  <c r="M3" i="1"/>
  <c r="D3" i="1"/>
  <c r="L3" i="1"/>
  <c r="P3" i="1"/>
  <c r="U3" i="1" l="1"/>
  <c r="V3" i="1" s="1"/>
  <c r="T3" i="1"/>
</calcChain>
</file>

<file path=xl/sharedStrings.xml><?xml version="1.0" encoding="utf-8"?>
<sst xmlns="http://schemas.openxmlformats.org/spreadsheetml/2006/main" count="38" uniqueCount="38">
  <si>
    <t>Curent # burners</t>
  </si>
  <si>
    <t>Current Heat Rate BTU/kWhr</t>
  </si>
  <si>
    <t>Burners</t>
  </si>
  <si>
    <t>$/kW</t>
  </si>
  <si>
    <t>Current MCR, MW</t>
  </si>
  <si>
    <t>Starting assumptions</t>
  </si>
  <si>
    <t>Post Full Load Fuel  Consumption, MSCF/hr</t>
  </si>
  <si>
    <t>Post Full Load Fuel  Consumption, mmBTU/hr</t>
  </si>
  <si>
    <t>Commisioning Start Up Fuel,  MSCF</t>
  </si>
  <si>
    <t>Plant Heating and Vent. System Upgrade</t>
  </si>
  <si>
    <t>Today's Dollars</t>
  </si>
  <si>
    <t>Total - 2016 Dollars</t>
  </si>
  <si>
    <t>Gas Line Costs</t>
  </si>
  <si>
    <t>New Gas Line Distance to Plant, Miles</t>
  </si>
  <si>
    <t>Electrical</t>
  </si>
  <si>
    <t>Gas Conditioning System</t>
  </si>
  <si>
    <t>Controls Changes</t>
  </si>
  <si>
    <r>
      <t xml:space="preserve">Possible Conversion Derate, MW       </t>
    </r>
    <r>
      <rPr>
        <b/>
        <sz val="8"/>
        <color theme="1"/>
        <rFont val="Calibri"/>
        <family val="2"/>
        <scheme val="minor"/>
      </rPr>
      <t>(see note 1&amp;3)</t>
    </r>
  </si>
  <si>
    <r>
      <t>Post Conversion Heat Rate,  BTU/kWhr</t>
    </r>
    <r>
      <rPr>
        <b/>
        <sz val="8"/>
        <color theme="1"/>
        <rFont val="Calibri"/>
        <family val="2"/>
        <scheme val="minor"/>
      </rPr>
      <t xml:space="preserve"> (see note 2&amp;3)</t>
    </r>
  </si>
  <si>
    <t>Start Up Times</t>
  </si>
  <si>
    <t>Mitchell 1</t>
  </si>
  <si>
    <t>aux  boiler</t>
  </si>
  <si>
    <t>Notes:</t>
  </si>
  <si>
    <t xml:space="preserve">1. </t>
  </si>
  <si>
    <t>Derate shown is a potentenial, not used in this estimate</t>
  </si>
  <si>
    <t xml:space="preserve">2. </t>
  </si>
  <si>
    <t xml:space="preserve">3. </t>
  </si>
  <si>
    <t xml:space="preserve">4. </t>
  </si>
  <si>
    <t xml:space="preserve">6. </t>
  </si>
  <si>
    <t xml:space="preserve">7. </t>
  </si>
  <si>
    <t xml:space="preserve"> 5. </t>
  </si>
  <si>
    <t>Start up time estimate from ComOps.</t>
  </si>
  <si>
    <t>Costs are from Big Sandy and Clinch River conversion projects</t>
  </si>
  <si>
    <t>Worse case heat rate multiplier (1.058) is an estimate.  Potentially no change in heat rate</t>
  </si>
  <si>
    <t>Better defination to changes in load, heat rate and costs require an additional study, approx $200,000 per plant</t>
  </si>
  <si>
    <t>Cumulative inflation rate from 2016 to 2020…9.75%, Gas Line Costs is a rule of thumb and not escalated</t>
  </si>
  <si>
    <t>Class V (+100 / -50%) estimate.</t>
  </si>
  <si>
    <t>Project Scope and costing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</si>
</sst>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_);\(#,##0.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5" xfId="0" applyFill="1" applyBorder="1"/>
    <xf numFmtId="0" fontId="0" fillId="0" borderId="0" xfId="0" applyFill="1" applyAlignment="1">
      <alignment wrapText="1"/>
    </xf>
    <xf numFmtId="1" fontId="0" fillId="0" borderId="6" xfId="0" applyNumberFormat="1" applyFill="1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5" fontId="0" fillId="0" borderId="15" xfId="1" applyNumberFormat="1" applyFont="1" applyFill="1" applyBorder="1" applyAlignment="1">
      <alignment horizontal="center"/>
    </xf>
    <xf numFmtId="37" fontId="0" fillId="0" borderId="4" xfId="1" applyNumberFormat="1" applyFont="1" applyFill="1" applyBorder="1" applyAlignment="1">
      <alignment horizontal="center"/>
    </xf>
    <xf numFmtId="0" fontId="0" fillId="0" borderId="15" xfId="0" applyFill="1" applyBorder="1"/>
    <xf numFmtId="164" fontId="0" fillId="0" borderId="16" xfId="2" applyNumberFormat="1" applyFont="1" applyFill="1" applyBorder="1" applyAlignment="1">
      <alignment horizontal="center"/>
    </xf>
    <xf numFmtId="164" fontId="0" fillId="0" borderId="15" xfId="2" applyNumberFormat="1" applyFont="1" applyFill="1" applyBorder="1"/>
    <xf numFmtId="164" fontId="0" fillId="0" borderId="15" xfId="2" applyNumberFormat="1" applyFont="1" applyFill="1" applyBorder="1" applyAlignment="1">
      <alignment horizontal="center"/>
    </xf>
    <xf numFmtId="37" fontId="0" fillId="0" borderId="15" xfId="2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zoomScale="80" zoomScaleNormal="80" workbookViewId="0">
      <selection activeCell="J7" sqref="J7"/>
    </sheetView>
  </sheetViews>
  <sheetFormatPr defaultColWidth="9.140625" defaultRowHeight="15" x14ac:dyDescent="0.25"/>
  <cols>
    <col min="1" max="1" width="11.85546875" style="1" customWidth="1"/>
    <col min="2" max="2" width="11.28515625" style="1" customWidth="1"/>
    <col min="3" max="3" width="9.85546875" style="1" customWidth="1"/>
    <col min="4" max="4" width="14.42578125" style="1" customWidth="1"/>
    <col min="5" max="5" width="13" style="1" customWidth="1"/>
    <col min="6" max="6" width="14.7109375" style="1" customWidth="1"/>
    <col min="7" max="7" width="13.28515625" style="1" customWidth="1"/>
    <col min="8" max="8" width="13.140625" style="1" customWidth="1"/>
    <col min="9" max="9" width="2.85546875" style="1" customWidth="1"/>
    <col min="10" max="10" width="14.5703125" style="1" customWidth="1"/>
    <col min="11" max="11" width="2.85546875" style="1" customWidth="1"/>
    <col min="12" max="12" width="14.140625" style="1" customWidth="1"/>
    <col min="13" max="13" width="13.140625" style="1" customWidth="1"/>
    <col min="14" max="14" width="10.5703125" style="1" customWidth="1"/>
    <col min="15" max="15" width="12.140625" style="1" customWidth="1"/>
    <col min="16" max="16" width="13.42578125" style="1" bestFit="1" customWidth="1"/>
    <col min="17" max="17" width="13.42578125" style="1" customWidth="1"/>
    <col min="18" max="18" width="12.5703125" style="1" customWidth="1"/>
    <col min="19" max="19" width="13.85546875" style="1" bestFit="1" customWidth="1"/>
    <col min="20" max="20" width="13.42578125" style="1" bestFit="1" customWidth="1"/>
    <col min="21" max="21" width="16.7109375" style="1" customWidth="1"/>
    <col min="22" max="22" width="9.140625" style="1" customWidth="1"/>
    <col min="23" max="23" width="3.42578125" style="1" customWidth="1"/>
    <col min="24" max="24" width="7.85546875" style="1" customWidth="1"/>
    <col min="25" max="25" width="2.7109375" style="1" customWidth="1"/>
    <col min="26" max="26" width="9.140625" style="1"/>
    <col min="27" max="27" width="2.28515625" style="1" customWidth="1"/>
    <col min="28" max="28" width="11.5703125" style="1" bestFit="1" customWidth="1"/>
    <col min="29" max="16384" width="9.140625" style="1"/>
  </cols>
  <sheetData>
    <row r="1" spans="1:24" ht="16.5" thickTop="1" thickBot="1" x14ac:dyDescent="0.3">
      <c r="A1" s="26" t="s">
        <v>5</v>
      </c>
      <c r="B1" s="27"/>
      <c r="C1" s="27"/>
      <c r="D1" s="27"/>
      <c r="E1" s="27"/>
      <c r="F1" s="27"/>
      <c r="G1" s="27"/>
      <c r="H1" s="28"/>
      <c r="J1" s="2"/>
      <c r="L1" s="26" t="s">
        <v>37</v>
      </c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4" s="3" customFormat="1" ht="75" customHeight="1" thickTop="1" thickBot="1" x14ac:dyDescent="0.3">
      <c r="A2" s="6"/>
      <c r="B2" s="7" t="s">
        <v>0</v>
      </c>
      <c r="C2" s="8" t="s">
        <v>4</v>
      </c>
      <c r="D2" s="8" t="s">
        <v>17</v>
      </c>
      <c r="E2" s="8" t="s">
        <v>1</v>
      </c>
      <c r="F2" s="8" t="s">
        <v>18</v>
      </c>
      <c r="G2" s="8" t="s">
        <v>6</v>
      </c>
      <c r="H2" s="9" t="s">
        <v>7</v>
      </c>
      <c r="I2" s="10"/>
      <c r="J2" s="11" t="s">
        <v>8</v>
      </c>
      <c r="K2" s="10"/>
      <c r="L2" s="12" t="s">
        <v>15</v>
      </c>
      <c r="M2" s="8" t="s">
        <v>9</v>
      </c>
      <c r="N2" s="8" t="s">
        <v>14</v>
      </c>
      <c r="O2" s="8" t="s">
        <v>16</v>
      </c>
      <c r="P2" s="8" t="s">
        <v>2</v>
      </c>
      <c r="Q2" s="8" t="s">
        <v>21</v>
      </c>
      <c r="R2" s="8" t="s">
        <v>13</v>
      </c>
      <c r="S2" s="8" t="s">
        <v>12</v>
      </c>
      <c r="T2" s="8" t="s">
        <v>11</v>
      </c>
      <c r="U2" s="8" t="s">
        <v>10</v>
      </c>
      <c r="V2" s="9" t="s">
        <v>3</v>
      </c>
      <c r="X2" s="3" t="s">
        <v>19</v>
      </c>
    </row>
    <row r="3" spans="1:24" ht="15.75" thickBot="1" x14ac:dyDescent="0.3">
      <c r="A3" s="13" t="s">
        <v>20</v>
      </c>
      <c r="B3" s="14">
        <v>36</v>
      </c>
      <c r="C3" s="15">
        <v>800</v>
      </c>
      <c r="D3" s="15">
        <f>+C3*0.4</f>
        <v>320</v>
      </c>
      <c r="E3" s="15">
        <v>9785</v>
      </c>
      <c r="F3" s="16">
        <f>E3*(1.0583)</f>
        <v>10355.4655</v>
      </c>
      <c r="G3" s="17">
        <f>+(F3)/1000*C3/1000</f>
        <v>8.2843724000000005</v>
      </c>
      <c r="H3" s="18">
        <f>+C3/1000*(E3)</f>
        <v>7828</v>
      </c>
      <c r="I3" s="19"/>
      <c r="J3" s="4">
        <f>370*C3/250</f>
        <v>1184</v>
      </c>
      <c r="K3" s="19"/>
      <c r="L3" s="20">
        <f>1690048*(C3/260)^0.5</f>
        <v>2964540.302827612</v>
      </c>
      <c r="M3" s="21">
        <f>1365436+180000</f>
        <v>1545436</v>
      </c>
      <c r="N3" s="21">
        <f>115319+287988+7593</f>
        <v>410900</v>
      </c>
      <c r="O3" s="21">
        <v>1365427</v>
      </c>
      <c r="P3" s="22">
        <f>+(2650025/18+7360769/18)*B3</f>
        <v>20021588</v>
      </c>
      <c r="Q3" s="22">
        <v>13000000</v>
      </c>
      <c r="R3" s="23">
        <v>1</v>
      </c>
      <c r="S3" s="22">
        <f>+R3*4500000</f>
        <v>4500000</v>
      </c>
      <c r="T3" s="22">
        <f>+SUM(L3:Q3)+S3</f>
        <v>43807891.302827612</v>
      </c>
      <c r="U3" s="22">
        <f>+SUM(L3:Q3)*1.0975+S3</f>
        <v>47640410.704853304</v>
      </c>
      <c r="V3" s="5">
        <f>+U3/(1000*C3)</f>
        <v>59.550513381066629</v>
      </c>
      <c r="X3" s="1">
        <v>30</v>
      </c>
    </row>
    <row r="4" spans="1:24" ht="15.75" thickTop="1" x14ac:dyDescent="0.25"/>
    <row r="7" spans="1:24" x14ac:dyDescent="0.25">
      <c r="B7" s="24" t="s">
        <v>22</v>
      </c>
      <c r="C7"/>
      <c r="D7"/>
      <c r="E7"/>
      <c r="F7"/>
      <c r="G7"/>
      <c r="H7"/>
      <c r="I7"/>
      <c r="J7"/>
      <c r="K7"/>
    </row>
    <row r="8" spans="1:24" x14ac:dyDescent="0.25">
      <c r="B8" s="25" t="s">
        <v>23</v>
      </c>
      <c r="C8" t="s">
        <v>24</v>
      </c>
      <c r="D8"/>
      <c r="E8"/>
      <c r="F8"/>
      <c r="G8"/>
      <c r="H8"/>
      <c r="I8"/>
      <c r="J8"/>
      <c r="K8"/>
    </row>
    <row r="9" spans="1:24" x14ac:dyDescent="0.25">
      <c r="B9" s="25" t="s">
        <v>25</v>
      </c>
      <c r="C9" t="s">
        <v>33</v>
      </c>
      <c r="D9"/>
      <c r="E9"/>
      <c r="F9"/>
      <c r="G9"/>
      <c r="H9"/>
      <c r="I9"/>
      <c r="J9"/>
      <c r="K9"/>
    </row>
    <row r="10" spans="1:24" x14ac:dyDescent="0.25">
      <c r="B10" s="25" t="s">
        <v>26</v>
      </c>
      <c r="C10" t="s">
        <v>34</v>
      </c>
      <c r="D10"/>
      <c r="E10"/>
      <c r="F10"/>
      <c r="G10"/>
      <c r="H10"/>
      <c r="I10"/>
      <c r="J10"/>
      <c r="K10"/>
    </row>
    <row r="11" spans="1:24" x14ac:dyDescent="0.25">
      <c r="B11" s="25" t="s">
        <v>27</v>
      </c>
      <c r="C11" t="s">
        <v>32</v>
      </c>
      <c r="D11"/>
      <c r="E11"/>
      <c r="F11"/>
      <c r="G11"/>
      <c r="H11"/>
      <c r="I11"/>
      <c r="J11"/>
      <c r="K11"/>
    </row>
    <row r="12" spans="1:24" x14ac:dyDescent="0.25">
      <c r="B12" s="25" t="s">
        <v>30</v>
      </c>
      <c r="C12" s="1" t="s">
        <v>35</v>
      </c>
      <c r="D12"/>
      <c r="E12"/>
      <c r="F12"/>
      <c r="G12"/>
      <c r="H12"/>
      <c r="I12"/>
      <c r="J12"/>
      <c r="K12"/>
    </row>
    <row r="13" spans="1:24" x14ac:dyDescent="0.25">
      <c r="B13" s="25" t="s">
        <v>28</v>
      </c>
      <c r="C13" t="s">
        <v>31</v>
      </c>
    </row>
    <row r="14" spans="1:24" x14ac:dyDescent="0.25">
      <c r="B14" s="25" t="s">
        <v>29</v>
      </c>
      <c r="C14" s="1" t="s">
        <v>36</v>
      </c>
    </row>
  </sheetData>
  <mergeCells count="2">
    <mergeCell ref="A1:H1"/>
    <mergeCell ref="L1:V1"/>
  </mergeCells>
  <pageMargins left="0.7" right="0.7" top="0.75" bottom="0.75" header="0.3" footer="0.3"/>
  <pageSetup scale="44" orientation="landscape" horizontalDpi="1200" verticalDpi="1200" r:id="rId1"/>
  <headerFooter>
    <oddHeader>&amp;RKPSC Case No. 2021-00004
AG-KIUC Second of Data Requests
Dated April 19, 2021
Item No. 09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FB6EE1EC-AD86-4E60-8573-FC3004C66C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o071208</dc:creator>
  <cp:keywords/>
  <cp:lastModifiedBy>s287620</cp:lastModifiedBy>
  <cp:lastPrinted>2021-05-03T19:55:08Z</cp:lastPrinted>
  <dcterms:created xsi:type="dcterms:W3CDTF">2020-06-05T11:55:23Z</dcterms:created>
  <dcterms:modified xsi:type="dcterms:W3CDTF">2021-05-03T19:55:13Z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fa28550a-d3b9-4ca6-9cb8-beda7a29f5ed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A9sklDxipcq+Bn03zso4CLgvht3/Ws6n</vt:lpwstr>
  </property>
  <property fmtid="{D5CDD505-2E9C-101B-9397-08002B2CF9AE}" pid="7" name="{A44787D4-0540-4523-9961-78E4036D8C6D}">
    <vt:lpwstr>{2B04031A-15A3-4C4D-9B6B-D5B86C85D10A}</vt:lpwstr>
  </property>
</Properties>
</file>