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 Support\Generation Support\_KPCo\Mitchell 2020 CPCN\03 - Discovery\Round 2\Sierra Club set 2\2-6\"/>
    </mc:Choice>
  </mc:AlternateContent>
  <bookViews>
    <workbookView xWindow="480" yWindow="195" windowWidth="18195" windowHeight="11250" activeTab="3"/>
  </bookViews>
  <sheets>
    <sheet name="35CF Wind Build Cost" sheetId="6" r:id="rId1"/>
    <sheet name="Wind Prices" sheetId="1" r:id="rId2"/>
    <sheet name="KPCo" sheetId="7" r:id="rId3"/>
    <sheet name="WIND" sheetId="8" r:id="rId4"/>
  </sheets>
  <calcPr calcId="162913" calcMode="manual"/>
</workbook>
</file>

<file path=xl/calcChain.xml><?xml version="1.0" encoding="utf-8"?>
<calcChain xmlns="http://schemas.openxmlformats.org/spreadsheetml/2006/main">
  <c r="J32" i="8" l="1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9" i="1"/>
  <c r="E9" i="6" l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9" i="6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10" i="6"/>
  <c r="I38" i="1"/>
  <c r="I37" i="1" l="1"/>
  <c r="I36" i="1"/>
  <c r="M18" i="7" l="1"/>
  <c r="L18" i="7"/>
  <c r="K18" i="7"/>
  <c r="J18" i="7"/>
  <c r="I18" i="7"/>
  <c r="H18" i="7"/>
  <c r="G18" i="7"/>
  <c r="F18" i="7"/>
  <c r="E18" i="7"/>
  <c r="D18" i="7"/>
  <c r="C18" i="7"/>
  <c r="B18" i="7"/>
  <c r="B35" i="6" l="1"/>
  <c r="B36" i="6" s="1"/>
  <c r="B37" i="6" s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F40" i="6" l="1"/>
  <c r="F39" i="6"/>
  <c r="F41" i="6" s="1"/>
  <c r="F9" i="6"/>
  <c r="L9" i="6" s="1"/>
  <c r="M9" i="6" l="1"/>
  <c r="C44" i="1" l="1"/>
  <c r="N38" i="1" l="1"/>
  <c r="F36" i="1"/>
  <c r="N36" i="6" s="1"/>
  <c r="N37" i="1"/>
  <c r="N36" i="1"/>
  <c r="F37" i="1"/>
  <c r="F38" i="1"/>
  <c r="N27" i="1"/>
  <c r="N12" i="1"/>
  <c r="N13" i="1"/>
  <c r="N30" i="1"/>
  <c r="N15" i="1"/>
  <c r="N32" i="1"/>
  <c r="N23" i="1"/>
  <c r="N11" i="1"/>
  <c r="N29" i="1"/>
  <c r="N14" i="1"/>
  <c r="N16" i="1"/>
  <c r="N28" i="1"/>
  <c r="N31" i="1"/>
  <c r="N24" i="1"/>
  <c r="N35" i="1"/>
  <c r="I10" i="1"/>
  <c r="C10" i="6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C11" i="6" l="1"/>
  <c r="C12" i="6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N21" i="1"/>
  <c r="N34" i="1"/>
  <c r="N26" i="1"/>
  <c r="N18" i="1"/>
  <c r="N20" i="1"/>
  <c r="N25" i="1"/>
  <c r="N33" i="1"/>
  <c r="N19" i="1"/>
  <c r="N17" i="1"/>
  <c r="N9" i="1"/>
  <c r="N10" i="1"/>
  <c r="N22" i="1"/>
  <c r="F10" i="6"/>
  <c r="M10" i="6" l="1"/>
  <c r="L10" i="6"/>
  <c r="F11" i="6"/>
  <c r="M11" i="6" l="1"/>
  <c r="L11" i="6"/>
  <c r="F12" i="6"/>
  <c r="M12" i="6" l="1"/>
  <c r="L12" i="6"/>
  <c r="F13" i="6"/>
  <c r="A10" i="1"/>
  <c r="F9" i="1"/>
  <c r="N9" i="6" l="1"/>
  <c r="O9" i="6" s="1"/>
  <c r="P9" i="6" s="1"/>
  <c r="L13" i="6"/>
  <c r="M13" i="6"/>
  <c r="F14" i="6"/>
  <c r="A11" i="1"/>
  <c r="F10" i="1"/>
  <c r="N10" i="6" l="1"/>
  <c r="O10" i="6" s="1"/>
  <c r="P10" i="6" s="1"/>
  <c r="M14" i="6"/>
  <c r="L14" i="6"/>
  <c r="F15" i="6"/>
  <c r="A12" i="1"/>
  <c r="F11" i="1"/>
  <c r="N11" i="6" l="1"/>
  <c r="O11" i="6" s="1"/>
  <c r="P11" i="6" s="1"/>
  <c r="L15" i="6"/>
  <c r="M15" i="6"/>
  <c r="F16" i="6"/>
  <c r="A13" i="1"/>
  <c r="F12" i="1"/>
  <c r="N12" i="6" l="1"/>
  <c r="O12" i="6" s="1"/>
  <c r="P12" i="6" s="1"/>
  <c r="M16" i="6"/>
  <c r="L16" i="6"/>
  <c r="F17" i="6"/>
  <c r="A14" i="1"/>
  <c r="F13" i="1"/>
  <c r="N13" i="6" l="1"/>
  <c r="O13" i="6" s="1"/>
  <c r="P13" i="6" s="1"/>
  <c r="L17" i="6"/>
  <c r="M17" i="6"/>
  <c r="F18" i="6"/>
  <c r="A15" i="1"/>
  <c r="F14" i="1"/>
  <c r="N14" i="6" l="1"/>
  <c r="O14" i="6" s="1"/>
  <c r="P14" i="6" s="1"/>
  <c r="M18" i="6"/>
  <c r="L18" i="6"/>
  <c r="F19" i="6"/>
  <c r="A16" i="1"/>
  <c r="F15" i="1"/>
  <c r="N15" i="6" l="1"/>
  <c r="O15" i="6" s="1"/>
  <c r="P15" i="6" s="1"/>
  <c r="M19" i="6"/>
  <c r="L19" i="6"/>
  <c r="F20" i="6"/>
  <c r="A17" i="1"/>
  <c r="F16" i="1"/>
  <c r="N16" i="6" l="1"/>
  <c r="O16" i="6" s="1"/>
  <c r="P16" i="6" s="1"/>
  <c r="M20" i="6"/>
  <c r="L20" i="6"/>
  <c r="F21" i="6"/>
  <c r="A18" i="1"/>
  <c r="F17" i="1"/>
  <c r="N17" i="6" l="1"/>
  <c r="O17" i="6" s="1"/>
  <c r="P17" i="6" s="1"/>
  <c r="L21" i="6"/>
  <c r="M21" i="6"/>
  <c r="F22" i="6"/>
  <c r="A19" i="1"/>
  <c r="F18" i="1"/>
  <c r="N18" i="6" l="1"/>
  <c r="O18" i="6" s="1"/>
  <c r="P18" i="6" s="1"/>
  <c r="F23" i="6"/>
  <c r="M22" i="6"/>
  <c r="L22" i="6"/>
  <c r="A20" i="1"/>
  <c r="F19" i="1"/>
  <c r="N19" i="6" l="1"/>
  <c r="O19" i="6" s="1"/>
  <c r="P19" i="6" s="1"/>
  <c r="L23" i="6"/>
  <c r="M23" i="6"/>
  <c r="F24" i="6"/>
  <c r="A21" i="1"/>
  <c r="F20" i="1"/>
  <c r="N20" i="6" l="1"/>
  <c r="O20" i="6" s="1"/>
  <c r="P20" i="6" s="1"/>
  <c r="F25" i="6"/>
  <c r="M24" i="6"/>
  <c r="L24" i="6"/>
  <c r="A22" i="1"/>
  <c r="F21" i="1"/>
  <c r="N21" i="6" l="1"/>
  <c r="O21" i="6" s="1"/>
  <c r="P21" i="6" s="1"/>
  <c r="M25" i="6"/>
  <c r="L25" i="6"/>
  <c r="F26" i="6"/>
  <c r="A23" i="1"/>
  <c r="F22" i="1"/>
  <c r="N22" i="6" l="1"/>
  <c r="O22" i="6" s="1"/>
  <c r="P22" i="6" s="1"/>
  <c r="M26" i="6"/>
  <c r="L26" i="6"/>
  <c r="F27" i="6"/>
  <c r="A24" i="1"/>
  <c r="F23" i="1"/>
  <c r="N23" i="6" l="1"/>
  <c r="O23" i="6" s="1"/>
  <c r="P23" i="6" s="1"/>
  <c r="L27" i="6"/>
  <c r="M27" i="6"/>
  <c r="F28" i="6"/>
  <c r="A25" i="1"/>
  <c r="F24" i="1"/>
  <c r="N24" i="6" l="1"/>
  <c r="O24" i="6" s="1"/>
  <c r="P24" i="6" s="1"/>
  <c r="F29" i="6"/>
  <c r="M28" i="6"/>
  <c r="L28" i="6"/>
  <c r="A26" i="1"/>
  <c r="F25" i="1"/>
  <c r="N25" i="6" l="1"/>
  <c r="O25" i="6" s="1"/>
  <c r="P25" i="6" s="1"/>
  <c r="L29" i="6"/>
  <c r="M29" i="6"/>
  <c r="F30" i="6"/>
  <c r="A27" i="1"/>
  <c r="F26" i="1"/>
  <c r="N26" i="6" l="1"/>
  <c r="O26" i="6" s="1"/>
  <c r="P26" i="6" s="1"/>
  <c r="M30" i="6"/>
  <c r="L30" i="6"/>
  <c r="F31" i="6"/>
  <c r="A28" i="1"/>
  <c r="F27" i="1"/>
  <c r="N27" i="6" l="1"/>
  <c r="O27" i="6" s="1"/>
  <c r="P27" i="6" s="1"/>
  <c r="M31" i="6"/>
  <c r="L31" i="6"/>
  <c r="F32" i="6"/>
  <c r="A29" i="1"/>
  <c r="F28" i="1"/>
  <c r="N28" i="6" l="1"/>
  <c r="O28" i="6" s="1"/>
  <c r="P28" i="6" s="1"/>
  <c r="M32" i="6"/>
  <c r="L32" i="6"/>
  <c r="F33" i="6"/>
  <c r="A30" i="1"/>
  <c r="F29" i="1"/>
  <c r="N29" i="6" l="1"/>
  <c r="O29" i="6" s="1"/>
  <c r="P29" i="6" s="1"/>
  <c r="L33" i="6"/>
  <c r="M33" i="6"/>
  <c r="F34" i="6"/>
  <c r="A31" i="1"/>
  <c r="F30" i="1"/>
  <c r="N30" i="6" l="1"/>
  <c r="O30" i="6" s="1"/>
  <c r="P30" i="6" s="1"/>
  <c r="F36" i="6"/>
  <c r="F35" i="6"/>
  <c r="M34" i="6"/>
  <c r="L34" i="6"/>
  <c r="A32" i="1"/>
  <c r="F31" i="1"/>
  <c r="N31" i="6" l="1"/>
  <c r="O31" i="6" s="1"/>
  <c r="P31" i="6" s="1"/>
  <c r="L35" i="6"/>
  <c r="M35" i="6"/>
  <c r="M36" i="6"/>
  <c r="L36" i="6"/>
  <c r="A33" i="1"/>
  <c r="F32" i="1"/>
  <c r="N32" i="6" l="1"/>
  <c r="O32" i="6" s="1"/>
  <c r="P32" i="6" s="1"/>
  <c r="A34" i="1"/>
  <c r="F33" i="1"/>
  <c r="N33" i="6" l="1"/>
  <c r="O33" i="6" s="1"/>
  <c r="P33" i="6" s="1"/>
  <c r="A35" i="1"/>
  <c r="F34" i="1"/>
  <c r="F35" i="1"/>
  <c r="N34" i="6" l="1"/>
  <c r="O34" i="6" s="1"/>
  <c r="P34" i="6" s="1"/>
  <c r="O36" i="6"/>
  <c r="P36" i="6" s="1"/>
  <c r="N35" i="6"/>
  <c r="O35" i="6" s="1"/>
  <c r="P35" i="6" s="1"/>
  <c r="A36" i="1"/>
  <c r="A37" i="1" s="1"/>
  <c r="A38" i="1" s="1"/>
</calcChain>
</file>

<file path=xl/sharedStrings.xml><?xml version="1.0" encoding="utf-8"?>
<sst xmlns="http://schemas.openxmlformats.org/spreadsheetml/2006/main" count="190" uniqueCount="107">
  <si>
    <t>Annual Energy (GWh)</t>
  </si>
  <si>
    <t>Capacity (MW)</t>
  </si>
  <si>
    <t>Capacity Factor (%)</t>
  </si>
  <si>
    <t>Inflation (%)</t>
  </si>
  <si>
    <t>Levelized Cost ($000)</t>
  </si>
  <si>
    <t>Annual</t>
  </si>
  <si>
    <t>Generic Wind</t>
  </si>
  <si>
    <t>Plexos</t>
  </si>
  <si>
    <t>SLD</t>
  </si>
  <si>
    <t>Capacity</t>
  </si>
  <si>
    <t>Input</t>
  </si>
  <si>
    <t>Equation 9:</t>
  </si>
  <si>
    <t>Method</t>
  </si>
  <si>
    <t>vs</t>
  </si>
  <si>
    <t>Build</t>
  </si>
  <si>
    <t>Maximum</t>
  </si>
  <si>
    <t>Inflation</t>
  </si>
  <si>
    <t>Economic</t>
  </si>
  <si>
    <t>Tax</t>
  </si>
  <si>
    <t>Annuity</t>
  </si>
  <si>
    <t>Cost</t>
  </si>
  <si>
    <t>Units</t>
  </si>
  <si>
    <t>WACC</t>
  </si>
  <si>
    <t>Rate</t>
  </si>
  <si>
    <t>Life</t>
  </si>
  <si>
    <t>Depreciation</t>
  </si>
  <si>
    <t>Calculation</t>
  </si>
  <si>
    <t>($/kW)</t>
  </si>
  <si>
    <t>Built</t>
  </si>
  <si>
    <t>(MW)</t>
  </si>
  <si>
    <t>($000)</t>
  </si>
  <si>
    <t>(%)</t>
  </si>
  <si>
    <t>(Years)</t>
  </si>
  <si>
    <t>Real Annuity Factor =</t>
  </si>
  <si>
    <t>Nominal Annuity Factor =</t>
  </si>
  <si>
    <t>SLD Factor =</t>
  </si>
  <si>
    <t>Wind Alternative Pricing</t>
  </si>
  <si>
    <t>Levelized</t>
  </si>
  <si>
    <t>Plexos Addition of 150 MW Utility Tier 1 Wind Capital Cost Calculation</t>
  </si>
  <si>
    <t>2019 KPCo IRP</t>
  </si>
  <si>
    <t>$/kW</t>
  </si>
  <si>
    <t>COD Dec</t>
  </si>
  <si>
    <t>Plex Year</t>
  </si>
  <si>
    <t>Plex Yr</t>
  </si>
  <si>
    <t>Kentucky Power Company</t>
  </si>
  <si>
    <t>Annual Investment Carrying Charges</t>
  </si>
  <si>
    <t>For Economic Analyses</t>
  </si>
  <si>
    <t>As of 12/31/2019</t>
  </si>
  <si>
    <t>Investment Life (Years)</t>
  </si>
  <si>
    <t>Return (1)</t>
  </si>
  <si>
    <t>Depreciation (2)</t>
  </si>
  <si>
    <t>FIT (3) (4)</t>
  </si>
  <si>
    <t>Property Taxes,  General  &amp; Admin Expenses</t>
  </si>
  <si>
    <t>Carrying Cost Per Year</t>
  </si>
  <si>
    <t>(1) Based on a 100% (as of 12/31/2019) and 0% incremental weighting of capital costs</t>
  </si>
  <si>
    <t>(2) Sinking Fund annuity with R1 Dispersion of Retirements</t>
  </si>
  <si>
    <t>(3) Assuming MACRS Tax Depreciation</t>
  </si>
  <si>
    <t>(4) @ 21% Federal Income Tax Rate</t>
  </si>
  <si>
    <t>Column J</t>
  </si>
  <si>
    <t>35 CF</t>
  </si>
  <si>
    <t>FOM</t>
  </si>
  <si>
    <t>Screening FOM</t>
  </si>
  <si>
    <t>Generation (GWh)</t>
  </si>
  <si>
    <t>FO&amp;M Cost ($000)</t>
  </si>
  <si>
    <t>Output Check</t>
  </si>
  <si>
    <t>Levelized Capital Cost ($/MWh)</t>
  </si>
  <si>
    <t>Scenario</t>
  </si>
  <si>
    <t>OpCo</t>
  </si>
  <si>
    <t>COD Year</t>
  </si>
  <si>
    <t>CF</t>
  </si>
  <si>
    <t>Build Cost ($/kW)</t>
  </si>
  <si>
    <t>PTC Credit</t>
  </si>
  <si>
    <t>Levelized O&amp;M $/kW</t>
  </si>
  <si>
    <t>Levelized O&amp;M $/MWh</t>
  </si>
  <si>
    <t>Levelized Cost of Energy $/MWh</t>
  </si>
  <si>
    <t>Levelized Capital Cost $/MWH</t>
  </si>
  <si>
    <t>2022COD-KYP-0.35CF</t>
  </si>
  <si>
    <t>KYP</t>
  </si>
  <si>
    <t>2023COD-KYP-0.35CF</t>
  </si>
  <si>
    <t>2024COD-KYP-0.35CF</t>
  </si>
  <si>
    <t>2025COD-KYP-0.35CF</t>
  </si>
  <si>
    <t>2026COD-KYP-0.35CF</t>
  </si>
  <si>
    <t>2027COD-KYP-0.35CF</t>
  </si>
  <si>
    <t>2028COD-KYP-0.35CF</t>
  </si>
  <si>
    <t>2029COD-KYP-0.35CF</t>
  </si>
  <si>
    <t>2030COD-KYP-0.35CF</t>
  </si>
  <si>
    <t>2031COD-KYP-0.35CF</t>
  </si>
  <si>
    <t>2032COD-KYP-0.35CF</t>
  </si>
  <si>
    <t>2033COD-KYP-0.35CF</t>
  </si>
  <si>
    <t>2034COD-KYP-0.35CF</t>
  </si>
  <si>
    <t>2035COD-KYP-0.35CF</t>
  </si>
  <si>
    <t>2036COD-KYP-0.35CF</t>
  </si>
  <si>
    <t>2037COD-KYP-0.35CF</t>
  </si>
  <si>
    <t>2038COD-KYP-0.35CF</t>
  </si>
  <si>
    <t>2039COD-KYP-0.35CF</t>
  </si>
  <si>
    <t>2040COD-KYP-0.35CF</t>
  </si>
  <si>
    <t>2041COD-KYP-0.35CF</t>
  </si>
  <si>
    <t>2042COD-KYP-0.35CF</t>
  </si>
  <si>
    <t>2043COD-KYP-0.35CF</t>
  </si>
  <si>
    <t>2044COD-KYP-0.35CF</t>
  </si>
  <si>
    <t>2045COD-KYP-0.35CF</t>
  </si>
  <si>
    <t>2046COD-KYP-0.35CF</t>
  </si>
  <si>
    <t>2047COD-KYP-0.35CF</t>
  </si>
  <si>
    <t>2048COD-KYP-0.35CF</t>
  </si>
  <si>
    <t>2049COD-KYP-0.35CF</t>
  </si>
  <si>
    <t>2050COD-KYP-0.35CF</t>
  </si>
  <si>
    <t>2051COD-KYP-0.35CF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</si>
</sst>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"/>
    <numFmt numFmtId="166" formatCode="0.000"/>
    <numFmt numFmtId="167" formatCode="mmmm\ d\,\ yyyy"/>
    <numFmt numFmtId="168" formatCode="0.000000"/>
    <numFmt numFmtId="169" formatCode="0.0%"/>
    <numFmt numFmtId="170" formatCode="&quot;$&quot;#,##0.00"/>
    <numFmt numFmtId="171" formatCode="[$-409]mmmm\-yy;@"/>
    <numFmt numFmtId="172" formatCode="&quot;$&quot;#,##0.00;[Red]&quot;$&quot;#,##0.0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4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2" fillId="0" borderId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0" fontId="6" fillId="0" borderId="1">
      <alignment horizontal="center"/>
    </xf>
    <xf numFmtId="0" fontId="6" fillId="0" borderId="1">
      <alignment horizontal="center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168" fontId="1" fillId="0" borderId="0">
      <alignment horizontal="left" wrapText="1"/>
    </xf>
    <xf numFmtId="168" fontId="1" fillId="0" borderId="0">
      <alignment horizontal="left" wrapText="1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21" borderId="4" applyNumberFormat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1" fillId="0" borderId="12" applyNumberFormat="0" applyFill="0" applyAlignment="0" applyProtection="0"/>
    <xf numFmtId="3" fontId="1" fillId="0" borderId="0" applyFill="0" applyBorder="0" applyAlignment="0" applyProtection="0"/>
    <xf numFmtId="0" fontId="21" fillId="0" borderId="12" applyNumberFormat="0" applyFill="0" applyAlignment="0" applyProtection="0"/>
    <xf numFmtId="3" fontId="1" fillId="0" borderId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18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13" fillId="4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2" fillId="7" borderId="3" applyNumberFormat="0" applyAlignment="0" applyProtection="0"/>
    <xf numFmtId="0" fontId="23" fillId="0" borderId="8" applyNumberFormat="0" applyFill="0" applyAlignment="0" applyProtection="0"/>
    <xf numFmtId="0" fontId="24" fillId="22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1" fontId="1" fillId="0" borderId="0"/>
    <xf numFmtId="0" fontId="1" fillId="0" borderId="0"/>
    <xf numFmtId="0" fontId="1" fillId="0" borderId="0"/>
    <xf numFmtId="0" fontId="6" fillId="0" borderId="13">
      <alignment horizontal="center"/>
    </xf>
    <xf numFmtId="0" fontId="1" fillId="0" borderId="0"/>
    <xf numFmtId="0" fontId="8" fillId="0" borderId="0"/>
    <xf numFmtId="0" fontId="31" fillId="0" borderId="0"/>
    <xf numFmtId="0" fontId="1" fillId="0" borderId="0"/>
    <xf numFmtId="0" fontId="32" fillId="0" borderId="0"/>
    <xf numFmtId="171" fontId="1" fillId="0" borderId="0"/>
    <xf numFmtId="0" fontId="6" fillId="0" borderId="13">
      <alignment horizontal="center"/>
    </xf>
    <xf numFmtId="0" fontId="1" fillId="0" borderId="0"/>
    <xf numFmtId="171" fontId="1" fillId="0" borderId="0"/>
    <xf numFmtId="0" fontId="29" fillId="0" borderId="0"/>
    <xf numFmtId="0" fontId="29" fillId="0" borderId="0"/>
    <xf numFmtId="0" fontId="1" fillId="0" borderId="0"/>
    <xf numFmtId="0" fontId="6" fillId="0" borderId="13">
      <alignment horizont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25" fillId="20" borderId="10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27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38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34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Border="1"/>
    <xf numFmtId="2" fontId="35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8" fillId="0" borderId="0" xfId="454"/>
    <xf numFmtId="0" fontId="8" fillId="0" borderId="0" xfId="454" applyAlignment="1">
      <alignment horizontal="center"/>
    </xf>
    <xf numFmtId="14" fontId="8" fillId="0" borderId="0" xfId="454" quotePrefix="1" applyNumberFormat="1"/>
    <xf numFmtId="0" fontId="8" fillId="0" borderId="0" xfId="454" applyFill="1" applyBorder="1"/>
    <xf numFmtId="0" fontId="8" fillId="0" borderId="15" xfId="454" applyBorder="1"/>
    <xf numFmtId="0" fontId="8" fillId="0" borderId="15" xfId="454" applyBorder="1" applyAlignment="1">
      <alignment horizontal="center"/>
    </xf>
    <xf numFmtId="0" fontId="8" fillId="0" borderId="14" xfId="454" applyBorder="1"/>
    <xf numFmtId="0" fontId="8" fillId="0" borderId="15" xfId="454" applyBorder="1" applyProtection="1">
      <protection locked="0"/>
    </xf>
    <xf numFmtId="2" fontId="8" fillId="0" borderId="0" xfId="454" applyNumberFormat="1"/>
    <xf numFmtId="0" fontId="8" fillId="0" borderId="0" xfId="454" applyAlignment="1">
      <alignment wrapText="1"/>
    </xf>
    <xf numFmtId="2" fontId="8" fillId="0" borderId="15" xfId="454" applyNumberFormat="1" applyBorder="1"/>
    <xf numFmtId="0" fontId="8" fillId="0" borderId="0" xfId="454" applyFill="1"/>
    <xf numFmtId="0" fontId="8" fillId="0" borderId="0" xfId="454" quotePrefix="1" applyFill="1"/>
    <xf numFmtId="9" fontId="0" fillId="0" borderId="0" xfId="539" applyFont="1"/>
    <xf numFmtId="14" fontId="8" fillId="0" borderId="0" xfId="454" applyNumberFormat="1"/>
    <xf numFmtId="0" fontId="8" fillId="0" borderId="0" xfId="454" quotePrefix="1"/>
    <xf numFmtId="172" fontId="0" fillId="0" borderId="0" xfId="0" applyNumberFormat="1"/>
    <xf numFmtId="0" fontId="0" fillId="0" borderId="0" xfId="0" applyFill="1"/>
    <xf numFmtId="38" fontId="0" fillId="0" borderId="0" xfId="0" applyNumberFormat="1" applyFill="1" applyAlignment="1">
      <alignment horizontal="center"/>
    </xf>
    <xf numFmtId="2" fontId="0" fillId="0" borderId="0" xfId="0" applyNumberFormat="1" applyFill="1"/>
    <xf numFmtId="172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34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2" fontId="40" fillId="0" borderId="0" xfId="0" applyNumberFormat="1" applyFont="1"/>
    <xf numFmtId="4" fontId="0" fillId="0" borderId="0" xfId="0" applyNumberFormat="1" applyFill="1" applyBorder="1"/>
    <xf numFmtId="0" fontId="0" fillId="0" borderId="0" xfId="0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7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1" fontId="0" fillId="0" borderId="0" xfId="0" applyNumberFormat="1" applyBorder="1"/>
    <xf numFmtId="0" fontId="41" fillId="24" borderId="0" xfId="0" applyFont="1" applyFill="1" applyAlignment="1">
      <alignment horizontal="center" vertical="center" wrapText="1"/>
    </xf>
    <xf numFmtId="9" fontId="1" fillId="0" borderId="0" xfId="541" applyFont="1" applyBorder="1" applyAlignment="1"/>
    <xf numFmtId="0" fontId="1" fillId="0" borderId="0" xfId="155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9" fontId="1" fillId="0" borderId="0" xfId="541" applyFont="1" applyBorder="1" applyAlignment="1">
      <alignment horizontal="center"/>
    </xf>
    <xf numFmtId="5" fontId="1" fillId="0" borderId="0" xfId="540" applyNumberFormat="1" applyFont="1" applyBorder="1" applyAlignment="1">
      <alignment horizontal="center"/>
    </xf>
    <xf numFmtId="9" fontId="1" fillId="0" borderId="0" xfId="541" applyFont="1" applyFill="1" applyBorder="1" applyAlignment="1">
      <alignment horizontal="center"/>
    </xf>
    <xf numFmtId="170" fontId="1" fillId="0" borderId="0" xfId="155" applyNumberFormat="1" applyFont="1" applyFill="1" applyBorder="1" applyAlignment="1">
      <alignment horizontal="center"/>
    </xf>
  </cellXfs>
  <cellStyles count="542">
    <cellStyle name=" 1" xfId="215"/>
    <cellStyle name=" 1 2" xfId="216"/>
    <cellStyle name="20% - Accent1 2" xfId="217"/>
    <cellStyle name="20% - Accent1 2 2" xfId="218"/>
    <cellStyle name="20% - Accent1 3" xfId="219"/>
    <cellStyle name="20% - Accent2 2" xfId="220"/>
    <cellStyle name="20% - Accent2 2 2" xfId="221"/>
    <cellStyle name="20% - Accent2 3" xfId="222"/>
    <cellStyle name="20% - Accent3 2" xfId="223"/>
    <cellStyle name="20% - Accent3 2 2" xfId="224"/>
    <cellStyle name="20% - Accent3 3" xfId="225"/>
    <cellStyle name="20% - Accent4 2" xfId="226"/>
    <cellStyle name="20% - Accent4 2 2" xfId="227"/>
    <cellStyle name="20% - Accent4 3" xfId="228"/>
    <cellStyle name="20% - Accent5 2" xfId="229"/>
    <cellStyle name="20% - Accent5 2 2" xfId="230"/>
    <cellStyle name="20% - Accent5 3" xfId="231"/>
    <cellStyle name="20% - Accent6 2" xfId="232"/>
    <cellStyle name="20% - Accent6 2 2" xfId="233"/>
    <cellStyle name="20% - Accent6 3" xfId="234"/>
    <cellStyle name="40% - Accent1 2" xfId="235"/>
    <cellStyle name="40% - Accent1 2 2" xfId="236"/>
    <cellStyle name="40% - Accent1 3" xfId="237"/>
    <cellStyle name="40% - Accent2 2" xfId="238"/>
    <cellStyle name="40% - Accent2 2 2" xfId="239"/>
    <cellStyle name="40% - Accent2 3" xfId="240"/>
    <cellStyle name="40% - Accent3 2" xfId="241"/>
    <cellStyle name="40% - Accent3 2 2" xfId="242"/>
    <cellStyle name="40% - Accent3 3" xfId="243"/>
    <cellStyle name="40% - Accent4 2" xfId="244"/>
    <cellStyle name="40% - Accent4 2 2" xfId="245"/>
    <cellStyle name="40% - Accent4 3" xfId="246"/>
    <cellStyle name="40% - Accent5 2" xfId="247"/>
    <cellStyle name="40% - Accent5 2 2" xfId="248"/>
    <cellStyle name="40% - Accent5 3" xfId="249"/>
    <cellStyle name="40% - Accent6 2" xfId="250"/>
    <cellStyle name="40% - Accent6 2 2" xfId="251"/>
    <cellStyle name="40% - Accent6 3" xfId="252"/>
    <cellStyle name="60% - Accent1 2" xfId="253"/>
    <cellStyle name="60% - Accent2 2" xfId="254"/>
    <cellStyle name="60% - Accent3 2" xfId="255"/>
    <cellStyle name="60% - Accent4 2" xfId="256"/>
    <cellStyle name="60% - Accent5 2" xfId="257"/>
    <cellStyle name="60% - Accent6 2" xfId="258"/>
    <cellStyle name="Accent1 2" xfId="259"/>
    <cellStyle name="Accent2 2" xfId="260"/>
    <cellStyle name="Accent3 2" xfId="261"/>
    <cellStyle name="Accent4 2" xfId="262"/>
    <cellStyle name="Accent5 2" xfId="263"/>
    <cellStyle name="Accent6 2" xfId="264"/>
    <cellStyle name="Bad 2" xfId="265"/>
    <cellStyle name="Calculation 2" xfId="266"/>
    <cellStyle name="Check Cell 2" xfId="267"/>
    <cellStyle name="Comma" xfId="540" builtinId="3"/>
    <cellStyle name="Comma 10" xfId="268"/>
    <cellStyle name="Comma 11" xfId="269"/>
    <cellStyle name="Comma 11 2" xfId="270"/>
    <cellStyle name="Comma 12" xfId="271"/>
    <cellStyle name="Comma 2" xfId="1"/>
    <cellStyle name="Comma 2 2" xfId="2"/>
    <cellStyle name="Comma 2 2 2" xfId="272"/>
    <cellStyle name="Comma 2 3" xfId="3"/>
    <cellStyle name="Comma 2 3 2" xfId="273"/>
    <cellStyle name="Comma 2 4" xfId="4"/>
    <cellStyle name="Comma 2 4 2" xfId="274"/>
    <cellStyle name="Comma 2 5" xfId="275"/>
    <cellStyle name="Comma 2 5 2" xfId="276"/>
    <cellStyle name="Comma 2 6" xfId="277"/>
    <cellStyle name="Comma 2 6 2" xfId="278"/>
    <cellStyle name="Comma 2 7" xfId="279"/>
    <cellStyle name="Comma 3" xfId="5"/>
    <cellStyle name="Comma 3 2" xfId="6"/>
    <cellStyle name="Comma 3 2 2" xfId="7"/>
    <cellStyle name="Comma 3 2 2 2" xfId="280"/>
    <cellStyle name="Comma 3 2 3" xfId="281"/>
    <cellStyle name="Comma 3 3" xfId="8"/>
    <cellStyle name="Comma 3 3 2" xfId="282"/>
    <cellStyle name="Comma 3 4" xfId="9"/>
    <cellStyle name="Comma 3 4 2" xfId="283"/>
    <cellStyle name="Comma 3 5" xfId="284"/>
    <cellStyle name="Comma 4" xfId="10"/>
    <cellStyle name="Comma 4 2" xfId="285"/>
    <cellStyle name="Comma 5" xfId="11"/>
    <cellStyle name="Comma 5 2" xfId="286"/>
    <cellStyle name="Comma 6" xfId="12"/>
    <cellStyle name="Comma 6 2" xfId="287"/>
    <cellStyle name="Comma 7" xfId="13"/>
    <cellStyle name="Comma 7 2" xfId="288"/>
    <cellStyle name="Comma 7 3" xfId="289"/>
    <cellStyle name="Comma 8" xfId="290"/>
    <cellStyle name="Comma 8 2" xfId="291"/>
    <cellStyle name="Comma 9" xfId="292"/>
    <cellStyle name="Comma 9 2" xfId="293"/>
    <cellStyle name="Comma0" xfId="14"/>
    <cellStyle name="Comma0 - Style3" xfId="15"/>
    <cellStyle name="Comma0 10" xfId="16"/>
    <cellStyle name="Comma0 10 2" xfId="17"/>
    <cellStyle name="Comma0 10 2 2" xfId="294"/>
    <cellStyle name="Comma0 10 3" xfId="295"/>
    <cellStyle name="Comma0 11" xfId="18"/>
    <cellStyle name="Comma0 11 2" xfId="19"/>
    <cellStyle name="Comma0 11 2 2" xfId="296"/>
    <cellStyle name="Comma0 11 3" xfId="297"/>
    <cellStyle name="Comma0 12" xfId="20"/>
    <cellStyle name="Comma0 12 2" xfId="21"/>
    <cellStyle name="Comma0 12 2 2" xfId="298"/>
    <cellStyle name="Comma0 12 3" xfId="299"/>
    <cellStyle name="Comma0 13" xfId="22"/>
    <cellStyle name="Comma0 13 2" xfId="23"/>
    <cellStyle name="Comma0 13 2 2" xfId="300"/>
    <cellStyle name="Comma0 13 3" xfId="301"/>
    <cellStyle name="Comma0 14" xfId="24"/>
    <cellStyle name="Comma0 14 2" xfId="302"/>
    <cellStyle name="Comma0 15" xfId="25"/>
    <cellStyle name="Comma0 15 2" xfId="303"/>
    <cellStyle name="Comma0 16" xfId="26"/>
    <cellStyle name="Comma0 16 2" xfId="304"/>
    <cellStyle name="Comma0 17" xfId="27"/>
    <cellStyle name="Comma0 17 2" xfId="305"/>
    <cellStyle name="Comma0 18" xfId="28"/>
    <cellStyle name="Comma0 18 2" xfId="307"/>
    <cellStyle name="Comma0 19" xfId="29"/>
    <cellStyle name="Comma0 19 2" xfId="309"/>
    <cellStyle name="Comma0 2" xfId="30"/>
    <cellStyle name="Comma0 2 2" xfId="31"/>
    <cellStyle name="Comma0 2 2 2" xfId="312"/>
    <cellStyle name="Comma0 2 3" xfId="32"/>
    <cellStyle name="Comma0 2 3 2" xfId="313"/>
    <cellStyle name="Comma0 2 4" xfId="33"/>
    <cellStyle name="Comma0 2 4 2" xfId="314"/>
    <cellStyle name="Comma0 2 5" xfId="315"/>
    <cellStyle name="Comma0 20" xfId="34"/>
    <cellStyle name="Comma0 20 2" xfId="316"/>
    <cellStyle name="Comma0 21" xfId="35"/>
    <cellStyle name="Comma0 21 2" xfId="317"/>
    <cellStyle name="Comma0 22" xfId="36"/>
    <cellStyle name="Comma0 22 2" xfId="318"/>
    <cellStyle name="Comma0 23" xfId="37"/>
    <cellStyle name="Comma0 23 2" xfId="319"/>
    <cellStyle name="Comma0 24" xfId="38"/>
    <cellStyle name="Comma0 24 2" xfId="320"/>
    <cellStyle name="Comma0 25" xfId="39"/>
    <cellStyle name="Comma0 25 2" xfId="321"/>
    <cellStyle name="Comma0 26" xfId="40"/>
    <cellStyle name="Comma0 26 2" xfId="322"/>
    <cellStyle name="Comma0 27" xfId="41"/>
    <cellStyle name="Comma0 27 2" xfId="323"/>
    <cellStyle name="Comma0 28" xfId="42"/>
    <cellStyle name="Comma0 28 2" xfId="324"/>
    <cellStyle name="Comma0 29" xfId="43"/>
    <cellStyle name="Comma0 29 2" xfId="325"/>
    <cellStyle name="Comma0 3" xfId="44"/>
    <cellStyle name="Comma0 3 2" xfId="45"/>
    <cellStyle name="Comma0 3 2 2" xfId="326"/>
    <cellStyle name="Comma0 3 3" xfId="46"/>
    <cellStyle name="Comma0 3 3 2" xfId="327"/>
    <cellStyle name="Comma0 3 4" xfId="47"/>
    <cellStyle name="Comma0 3 4 2" xfId="328"/>
    <cellStyle name="Comma0 3 5" xfId="329"/>
    <cellStyle name="Comma0 30" xfId="48"/>
    <cellStyle name="Comma0 30 2" xfId="330"/>
    <cellStyle name="Comma0 31" xfId="49"/>
    <cellStyle name="Comma0 31 2" xfId="331"/>
    <cellStyle name="Comma0 32" xfId="50"/>
    <cellStyle name="Comma0 32 2" xfId="332"/>
    <cellStyle name="Comma0 33" xfId="51"/>
    <cellStyle name="Comma0 33 2" xfId="333"/>
    <cellStyle name="Comma0 34" xfId="52"/>
    <cellStyle name="Comma0 34 2" xfId="334"/>
    <cellStyle name="Comma0 35" xfId="53"/>
    <cellStyle name="Comma0 35 2" xfId="335"/>
    <cellStyle name="Comma0 36" xfId="54"/>
    <cellStyle name="Comma0 36 2" xfId="336"/>
    <cellStyle name="Comma0 37" xfId="55"/>
    <cellStyle name="Comma0 38" xfId="56"/>
    <cellStyle name="Comma0 39" xfId="57"/>
    <cellStyle name="Comma0 4" xfId="58"/>
    <cellStyle name="Comma0 4 2" xfId="59"/>
    <cellStyle name="Comma0 4 2 2" xfId="337"/>
    <cellStyle name="Comma0 4 3" xfId="60"/>
    <cellStyle name="Comma0 4 3 2" xfId="338"/>
    <cellStyle name="Comma0 4 4" xfId="61"/>
    <cellStyle name="Comma0 4 4 2" xfId="339"/>
    <cellStyle name="Comma0 4 5" xfId="340"/>
    <cellStyle name="Comma0 40" xfId="341"/>
    <cellStyle name="Comma0 41" xfId="342"/>
    <cellStyle name="Comma0 42" xfId="343"/>
    <cellStyle name="Comma0 43" xfId="344"/>
    <cellStyle name="Comma0 44" xfId="345"/>
    <cellStyle name="Comma0 45" xfId="346"/>
    <cellStyle name="Comma0 5" xfId="62"/>
    <cellStyle name="Comma0 5 2" xfId="63"/>
    <cellStyle name="Comma0 5 2 2" xfId="347"/>
    <cellStyle name="Comma0 5 3" xfId="64"/>
    <cellStyle name="Comma0 5 3 2" xfId="348"/>
    <cellStyle name="Comma0 5 4" xfId="65"/>
    <cellStyle name="Comma0 5 4 2" xfId="349"/>
    <cellStyle name="Comma0 5 5" xfId="350"/>
    <cellStyle name="Comma0 6" xfId="66"/>
    <cellStyle name="Comma0 6 2" xfId="67"/>
    <cellStyle name="Comma0 6 2 2" xfId="351"/>
    <cellStyle name="Comma0 6 3" xfId="68"/>
    <cellStyle name="Comma0 6 3 2" xfId="352"/>
    <cellStyle name="Comma0 6 4" xfId="69"/>
    <cellStyle name="Comma0 6 4 2" xfId="353"/>
    <cellStyle name="Comma0 6 5" xfId="354"/>
    <cellStyle name="Comma0 7" xfId="70"/>
    <cellStyle name="Comma0 7 2" xfId="71"/>
    <cellStyle name="Comma0 7 2 2" xfId="72"/>
    <cellStyle name="Comma0 7 2 2 2" xfId="355"/>
    <cellStyle name="Comma0 7 2 3" xfId="356"/>
    <cellStyle name="Comma0 7 3" xfId="73"/>
    <cellStyle name="Comma0 7 3 2" xfId="357"/>
    <cellStyle name="Comma0 7 4" xfId="74"/>
    <cellStyle name="Comma0 7 4 2" xfId="358"/>
    <cellStyle name="Comma0 7 5" xfId="359"/>
    <cellStyle name="Comma0 8" xfId="75"/>
    <cellStyle name="Comma0 8 2" xfId="76"/>
    <cellStyle name="Comma0 8 2 2" xfId="77"/>
    <cellStyle name="Comma0 8 2 2 2" xfId="360"/>
    <cellStyle name="Comma0 8 2 3" xfId="361"/>
    <cellStyle name="Comma0 8 3" xfId="78"/>
    <cellStyle name="Comma0 8 3 2" xfId="362"/>
    <cellStyle name="Comma0 8 4" xfId="79"/>
    <cellStyle name="Comma0 8 4 2" xfId="363"/>
    <cellStyle name="Comma0 8 5" xfId="364"/>
    <cellStyle name="Comma0 9" xfId="80"/>
    <cellStyle name="Comma0 9 2" xfId="81"/>
    <cellStyle name="Comma0 9 2 2" xfId="365"/>
    <cellStyle name="Comma0 9 3" xfId="366"/>
    <cellStyle name="Currency 2" xfId="82"/>
    <cellStyle name="Currency 2 2" xfId="367"/>
    <cellStyle name="Currency 3" xfId="83"/>
    <cellStyle name="Currency 3 2" xfId="368"/>
    <cellStyle name="Currency 4" xfId="369"/>
    <cellStyle name="Currency 4 2" xfId="370"/>
    <cellStyle name="Currency 5" xfId="371"/>
    <cellStyle name="Currency 6" xfId="372"/>
    <cellStyle name="Currency 7" xfId="373"/>
    <cellStyle name="Currency 7 2" xfId="374"/>
    <cellStyle name="Currency 7 2 2" xfId="375"/>
    <cellStyle name="Currency 7 3" xfId="376"/>
    <cellStyle name="Currency0" xfId="84"/>
    <cellStyle name="Currency0 2" xfId="85"/>
    <cellStyle name="Currency0 2 2" xfId="86"/>
    <cellStyle name="Currency0 2 2 2" xfId="377"/>
    <cellStyle name="Currency0 2 3" xfId="87"/>
    <cellStyle name="Currency0 2 3 2" xfId="378"/>
    <cellStyle name="Currency0 2 4" xfId="88"/>
    <cellStyle name="Currency0 2 4 2" xfId="379"/>
    <cellStyle name="Currency0 2 5" xfId="380"/>
    <cellStyle name="Currency0 3" xfId="89"/>
    <cellStyle name="Currency0 3 2" xfId="90"/>
    <cellStyle name="Currency0 3 2 2" xfId="91"/>
    <cellStyle name="Currency0 3 2 2 2" xfId="381"/>
    <cellStyle name="Currency0 3 2 3" xfId="382"/>
    <cellStyle name="Currency0 3 3" xfId="92"/>
    <cellStyle name="Currency0 3 3 2" xfId="383"/>
    <cellStyle name="Currency0 3 4" xfId="93"/>
    <cellStyle name="Currency0 3 4 2" xfId="384"/>
    <cellStyle name="Currency0 3 5" xfId="385"/>
    <cellStyle name="Currency0 4" xfId="94"/>
    <cellStyle name="Currency0 4 2" xfId="386"/>
    <cellStyle name="Currency0 5" xfId="95"/>
    <cellStyle name="Currency0 5 2" xfId="387"/>
    <cellStyle name="Currency0 6" xfId="96"/>
    <cellStyle name="Currency0 6 2" xfId="388"/>
    <cellStyle name="Currency0 7" xfId="389"/>
    <cellStyle name="Date" xfId="97"/>
    <cellStyle name="Date 2" xfId="98"/>
    <cellStyle name="Date 2 2" xfId="99"/>
    <cellStyle name="Date 2 2 2" xfId="390"/>
    <cellStyle name="Date 2 3" xfId="100"/>
    <cellStyle name="Date 2 3 2" xfId="391"/>
    <cellStyle name="Date 2 4" xfId="101"/>
    <cellStyle name="Date 2 4 2" xfId="392"/>
    <cellStyle name="Date 2 5" xfId="393"/>
    <cellStyle name="Date 3" xfId="102"/>
    <cellStyle name="Date 3 2" xfId="103"/>
    <cellStyle name="Date 3 2 2" xfId="104"/>
    <cellStyle name="Date 3 2 2 2" xfId="394"/>
    <cellStyle name="Date 3 2 3" xfId="395"/>
    <cellStyle name="Date 3 3" xfId="105"/>
    <cellStyle name="Date 3 3 2" xfId="396"/>
    <cellStyle name="Date 3 4" xfId="106"/>
    <cellStyle name="Date 3 4 2" xfId="397"/>
    <cellStyle name="Date 3 5" xfId="398"/>
    <cellStyle name="Date 4" xfId="107"/>
    <cellStyle name="Date 4 2" xfId="399"/>
    <cellStyle name="Date 5" xfId="108"/>
    <cellStyle name="Date 5 2" xfId="400"/>
    <cellStyle name="Date 6" xfId="109"/>
    <cellStyle name="Date 6 2" xfId="401"/>
    <cellStyle name="Date 7" xfId="402"/>
    <cellStyle name="Explanatory Text 2" xfId="403"/>
    <cellStyle name="Fixed" xfId="110"/>
    <cellStyle name="Fixed 2" xfId="111"/>
    <cellStyle name="Fixed 2 2" xfId="112"/>
    <cellStyle name="Fixed 2 2 2" xfId="404"/>
    <cellStyle name="Fixed 2 3" xfId="113"/>
    <cellStyle name="Fixed 2 3 2" xfId="405"/>
    <cellStyle name="Fixed 2 4" xfId="114"/>
    <cellStyle name="Fixed 2 4 2" xfId="406"/>
    <cellStyle name="Fixed 2 5" xfId="407"/>
    <cellStyle name="Fixed 3" xfId="115"/>
    <cellStyle name="Fixed 3 2" xfId="116"/>
    <cellStyle name="Fixed 3 2 2" xfId="117"/>
    <cellStyle name="Fixed 3 2 2 2" xfId="408"/>
    <cellStyle name="Fixed 3 2 3" xfId="409"/>
    <cellStyle name="Fixed 3 3" xfId="118"/>
    <cellStyle name="Fixed 3 3 2" xfId="410"/>
    <cellStyle name="Fixed 3 4" xfId="119"/>
    <cellStyle name="Fixed 3 4 2" xfId="411"/>
    <cellStyle name="Fixed 3 5" xfId="412"/>
    <cellStyle name="Fixed 4" xfId="120"/>
    <cellStyle name="Fixed 4 2" xfId="413"/>
    <cellStyle name="Fixed 5" xfId="121"/>
    <cellStyle name="Fixed 5 2" xfId="414"/>
    <cellStyle name="Fixed 6" xfId="122"/>
    <cellStyle name="Fixed 6 2" xfId="415"/>
    <cellStyle name="Fixed 7" xfId="416"/>
    <cellStyle name="Fixed 7 2" xfId="417"/>
    <cellStyle name="Fixed 8" xfId="418"/>
    <cellStyle name="Fixed2 - Style2" xfId="123"/>
    <cellStyle name="Good 2" xfId="419"/>
    <cellStyle name="Heading 1 2" xfId="124"/>
    <cellStyle name="Heading 1 2 2" xfId="125"/>
    <cellStyle name="Heading 1 3" xfId="126"/>
    <cellStyle name="Heading 1 4" xfId="127"/>
    <cellStyle name="Heading 1 5" xfId="128"/>
    <cellStyle name="Heading 1 6" xfId="420"/>
    <cellStyle name="Heading 1 6 2" xfId="421"/>
    <cellStyle name="Heading 1 6 2 2" xfId="422"/>
    <cellStyle name="Heading 1 6 3" xfId="423"/>
    <cellStyle name="Heading 2 2" xfId="129"/>
    <cellStyle name="Heading 2 2 2" xfId="130"/>
    <cellStyle name="Heading 2 3" xfId="131"/>
    <cellStyle name="Heading 2 3 2" xfId="132"/>
    <cellStyle name="Heading 2 4" xfId="133"/>
    <cellStyle name="Heading 2 5" xfId="134"/>
    <cellStyle name="Heading 2 6" xfId="135"/>
    <cellStyle name="Heading 2 7" xfId="424"/>
    <cellStyle name="Heading 2 7 2" xfId="425"/>
    <cellStyle name="Heading 2 7 2 2" xfId="426"/>
    <cellStyle name="Heading 2 7 3" xfId="427"/>
    <cellStyle name="Heading 3 2" xfId="428"/>
    <cellStyle name="Heading 3 2 2" xfId="429"/>
    <cellStyle name="Heading 3 2 2 2" xfId="430"/>
    <cellStyle name="Heading 3 2 2 2 2" xfId="310"/>
    <cellStyle name="Heading 3 2 2 3" xfId="308"/>
    <cellStyle name="Heading 3 2 3" xfId="431"/>
    <cellStyle name="Heading 3 2 3 2" xfId="311"/>
    <cellStyle name="Heading 3 2 4" xfId="306"/>
    <cellStyle name="Heading 4 2" xfId="432"/>
    <cellStyle name="Heading 4 2 2" xfId="433"/>
    <cellStyle name="Heading 4 2 2 2" xfId="434"/>
    <cellStyle name="Heading 4 2 3" xfId="435"/>
    <cellStyle name="HEADING1" xfId="136"/>
    <cellStyle name="HEADING1 2" xfId="137"/>
    <cellStyle name="HEADING1 2 2" xfId="138"/>
    <cellStyle name="HEADING1 2 2 2" xfId="436"/>
    <cellStyle name="HEADING1 2 3" xfId="139"/>
    <cellStyle name="HEADING1 2 3 2" xfId="437"/>
    <cellStyle name="HEADING1 2 4" xfId="140"/>
    <cellStyle name="HEADING1 2 4 2" xfId="438"/>
    <cellStyle name="HEADING1 2 5" xfId="439"/>
    <cellStyle name="HEADING1 3" xfId="141"/>
    <cellStyle name="HEADING1 3 2" xfId="142"/>
    <cellStyle name="HEADING1 3 2 2" xfId="143"/>
    <cellStyle name="HEADING1 3 2 2 2" xfId="440"/>
    <cellStyle name="HEADING1 3 2 3" xfId="441"/>
    <cellStyle name="HEADING1 3 3" xfId="144"/>
    <cellStyle name="HEADING1 3 3 2" xfId="442"/>
    <cellStyle name="HEADING1 3 4" xfId="145"/>
    <cellStyle name="HEADING1 3 4 2" xfId="443"/>
    <cellStyle name="HEADING1 3 5" xfId="444"/>
    <cellStyle name="HEADING1 4" xfId="146"/>
    <cellStyle name="HEADING1 4 2" xfId="445"/>
    <cellStyle name="HEADING1 5" xfId="147"/>
    <cellStyle name="HEADING1 5 2" xfId="446"/>
    <cellStyle name="HEADING1 6" xfId="148"/>
    <cellStyle name="HEADING1 6 2" xfId="447"/>
    <cellStyle name="HEADING1 7" xfId="448"/>
    <cellStyle name="HEADING2" xfId="149"/>
    <cellStyle name="HEADING2 2" xfId="150"/>
    <cellStyle name="HEADING2 2 2" xfId="151"/>
    <cellStyle name="Hyperlink 2" xfId="449"/>
    <cellStyle name="Input 2" xfId="450"/>
    <cellStyle name="Linked Cell 2" xfId="451"/>
    <cellStyle name="Neutral 2" xfId="452"/>
    <cellStyle name="Normal" xfId="0" builtinId="0"/>
    <cellStyle name="Normal 10" xfId="453"/>
    <cellStyle name="Normal 10 2" xfId="454"/>
    <cellStyle name="Normal 10 3" xfId="455"/>
    <cellStyle name="Normal 11" xfId="456"/>
    <cellStyle name="Normal 11 2" xfId="457"/>
    <cellStyle name="Normal 12" xfId="458"/>
    <cellStyle name="Normal 2" xfId="152"/>
    <cellStyle name="Normal 2 10" xfId="459"/>
    <cellStyle name="Normal 2 11" xfId="538"/>
    <cellStyle name="Normal 2 2" xfId="153"/>
    <cellStyle name="Normal 2 2 2" xfId="154"/>
    <cellStyle name="Normal 2 2 2 2" xfId="155"/>
    <cellStyle name="Normal 2 2 3" xfId="156"/>
    <cellStyle name="Normal 2 3" xfId="157"/>
    <cellStyle name="Normal 2 3 2" xfId="158"/>
    <cellStyle name="Normal 2 4" xfId="159"/>
    <cellStyle name="Normal 2 4 2" xfId="160"/>
    <cellStyle name="Normal 2 5" xfId="161"/>
    <cellStyle name="Normal 2 5 2" xfId="162"/>
    <cellStyle name="Normal 2 6" xfId="163"/>
    <cellStyle name="Normal 2 6 2" xfId="460"/>
    <cellStyle name="Normal 2 7" xfId="164"/>
    <cellStyle name="Normal 2 8" xfId="461"/>
    <cellStyle name="Normal 2 8 2" xfId="462"/>
    <cellStyle name="Normal 2 9" xfId="463"/>
    <cellStyle name="Normal 3" xfId="165"/>
    <cellStyle name="Normal 3 2" xfId="166"/>
    <cellStyle name="Normal 3 2 2" xfId="465"/>
    <cellStyle name="Normal 3 2 3" xfId="464"/>
    <cellStyle name="Normal 3 3" xfId="167"/>
    <cellStyle name="Normal 3 3 2" xfId="466"/>
    <cellStyle name="Normal 3 4" xfId="168"/>
    <cellStyle name="Normal 3 4 2" xfId="468"/>
    <cellStyle name="Normal 3 4 3" xfId="469"/>
    <cellStyle name="Normal 3 5" xfId="470"/>
    <cellStyle name="Normal 3 6" xfId="471"/>
    <cellStyle name="Normal 3 7" xfId="472"/>
    <cellStyle name="Normal 4" xfId="169"/>
    <cellStyle name="Normal 4 2" xfId="170"/>
    <cellStyle name="Normal 4 3" xfId="475"/>
    <cellStyle name="Normal 4 4" xfId="473"/>
    <cellStyle name="Normal 5" xfId="171"/>
    <cellStyle name="Normal 5 2" xfId="477"/>
    <cellStyle name="Normal 5 2 2" xfId="478"/>
    <cellStyle name="Normal 5 3" xfId="479"/>
    <cellStyle name="Normal 5 4" xfId="476"/>
    <cellStyle name="Normal 6" xfId="172"/>
    <cellStyle name="Normal 7" xfId="173"/>
    <cellStyle name="Normal 7 2" xfId="481"/>
    <cellStyle name="Normal 8" xfId="174"/>
    <cellStyle name="Normal 8 2" xfId="482"/>
    <cellStyle name="Normal 8 3" xfId="483"/>
    <cellStyle name="Normal 9" xfId="484"/>
    <cellStyle name="Normal 9 2" xfId="485"/>
    <cellStyle name="Note 2" xfId="486"/>
    <cellStyle name="Note 2 2" xfId="487"/>
    <cellStyle name="Output 2" xfId="488"/>
    <cellStyle name="Percen - Style1" xfId="175"/>
    <cellStyle name="Percent" xfId="541" builtinId="5"/>
    <cellStyle name="Percent 10" xfId="489"/>
    <cellStyle name="Percent 11" xfId="490"/>
    <cellStyle name="Percent 12" xfId="491"/>
    <cellStyle name="Percent 12 2" xfId="492"/>
    <cellStyle name="Percent 13" xfId="493"/>
    <cellStyle name="Percent 14" xfId="539"/>
    <cellStyle name="Percent 2" xfId="176"/>
    <cellStyle name="Percent 2 2" xfId="177"/>
    <cellStyle name="Percent 2 2 2" xfId="494"/>
    <cellStyle name="Percent 2 3" xfId="178"/>
    <cellStyle name="Percent 2 3 2" xfId="495"/>
    <cellStyle name="Percent 2 4" xfId="179"/>
    <cellStyle name="Percent 2 4 2" xfId="496"/>
    <cellStyle name="Percent 3" xfId="180"/>
    <cellStyle name="Percent 3 2" xfId="181"/>
    <cellStyle name="Percent 3 2 2" xfId="182"/>
    <cellStyle name="Percent 3 2 2 2" xfId="497"/>
    <cellStyle name="Percent 3 2 3" xfId="498"/>
    <cellStyle name="Percent 3 3" xfId="183"/>
    <cellStyle name="Percent 3 3 2" xfId="499"/>
    <cellStyle name="Percent 3 4" xfId="184"/>
    <cellStyle name="Percent 3 4 2" xfId="500"/>
    <cellStyle name="Percent 3 5" xfId="501"/>
    <cellStyle name="Percent 4" xfId="185"/>
    <cellStyle name="Percent 4 2" xfId="502"/>
    <cellStyle name="Percent 5" xfId="186"/>
    <cellStyle name="Percent 5 2" xfId="187"/>
    <cellStyle name="Percent 5 2 2" xfId="503"/>
    <cellStyle name="Percent 5 3" xfId="504"/>
    <cellStyle name="Percent 6" xfId="188"/>
    <cellStyle name="Percent 6 2" xfId="505"/>
    <cellStyle name="Percent 7" xfId="189"/>
    <cellStyle name="Percent 7 2" xfId="506"/>
    <cellStyle name="Percent 7 3" xfId="507"/>
    <cellStyle name="Percent 8" xfId="508"/>
    <cellStyle name="Percent 8 2" xfId="509"/>
    <cellStyle name="Percent 8 2 2" xfId="510"/>
    <cellStyle name="Percent 8 3" xfId="511"/>
    <cellStyle name="Percent 9" xfId="512"/>
    <cellStyle name="Percent 9 2" xfId="513"/>
    <cellStyle name="PSChar" xfId="190"/>
    <cellStyle name="PSChar 2" xfId="191"/>
    <cellStyle name="PSChar 2 2" xfId="192"/>
    <cellStyle name="PSDec" xfId="193"/>
    <cellStyle name="PSDec 2" xfId="194"/>
    <cellStyle name="PSDec 2 2" xfId="195"/>
    <cellStyle name="PSHeading" xfId="196"/>
    <cellStyle name="PSHeading 2" xfId="197"/>
    <cellStyle name="PSHeading 2 2" xfId="198"/>
    <cellStyle name="PSHeading 2 2 2" xfId="480"/>
    <cellStyle name="PSHeading 2 3" xfId="474"/>
    <cellStyle name="PSHeading 3" xfId="467"/>
    <cellStyle name="Style 1" xfId="199"/>
    <cellStyle name="Style 1 2" xfId="200"/>
    <cellStyle name="Style 1 2 2" xfId="514"/>
    <cellStyle name="Style 1 3" xfId="515"/>
    <cellStyle name="Style 1 4" xfId="516"/>
    <cellStyle name="Style 1 5" xfId="517"/>
    <cellStyle name="Title 2" xfId="518"/>
    <cellStyle name="Title 2 2" xfId="519"/>
    <cellStyle name="Title 2 2 2" xfId="520"/>
    <cellStyle name="Title 2 3" xfId="521"/>
    <cellStyle name="Total 2" xfId="201"/>
    <cellStyle name="Total 2 2" xfId="202"/>
    <cellStyle name="Total 2 2 2" xfId="522"/>
    <cellStyle name="Total 2 3" xfId="203"/>
    <cellStyle name="Total 2 3 2" xfId="523"/>
    <cellStyle name="Total 2 4" xfId="204"/>
    <cellStyle name="Total 2 4 2" xfId="524"/>
    <cellStyle name="Total 2 5" xfId="525"/>
    <cellStyle name="Total 3" xfId="205"/>
    <cellStyle name="Total 3 2" xfId="206"/>
    <cellStyle name="Total 3 2 2" xfId="207"/>
    <cellStyle name="Total 3 2 2 2" xfId="526"/>
    <cellStyle name="Total 3 2 3" xfId="527"/>
    <cellStyle name="Total 3 3" xfId="208"/>
    <cellStyle name="Total 3 3 2" xfId="528"/>
    <cellStyle name="Total 3 4" xfId="209"/>
    <cellStyle name="Total 3 4 2" xfId="529"/>
    <cellStyle name="Total 3 5" xfId="530"/>
    <cellStyle name="Total 4" xfId="210"/>
    <cellStyle name="Total 4 2" xfId="531"/>
    <cellStyle name="Total 5" xfId="211"/>
    <cellStyle name="Total 5 2" xfId="212"/>
    <cellStyle name="Total 5 2 2" xfId="532"/>
    <cellStyle name="Total 5 3" xfId="533"/>
    <cellStyle name="Total 6" xfId="213"/>
    <cellStyle name="Total 6 2" xfId="534"/>
    <cellStyle name="Total 7" xfId="214"/>
    <cellStyle name="Total 7 2" xfId="535"/>
    <cellStyle name="Total 8" xfId="536"/>
    <cellStyle name="Warning Text 2" xfId="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85" zoomScaleNormal="85" workbookViewId="0">
      <selection activeCell="P10" sqref="P10"/>
    </sheetView>
  </sheetViews>
  <sheetFormatPr defaultRowHeight="15" x14ac:dyDescent="0.25"/>
  <cols>
    <col min="1" max="1" width="24.5703125" style="18" bestFit="1" customWidth="1"/>
    <col min="2" max="2" width="9.140625" style="21"/>
    <col min="3" max="3" width="9.140625" style="64"/>
    <col min="4" max="5" width="9.140625" style="18" customWidth="1"/>
    <col min="6" max="6" width="12.42578125" style="18" customWidth="1"/>
    <col min="7" max="7" width="8.140625" style="18" customWidth="1"/>
    <col min="8" max="8" width="8.5703125" style="18" customWidth="1"/>
    <col min="9" max="10" width="9.140625" style="18" customWidth="1"/>
    <col min="11" max="11" width="14" style="18" customWidth="1"/>
    <col min="12" max="12" width="13.42578125" style="18" hidden="1" customWidth="1"/>
    <col min="13" max="13" width="13.85546875" style="18" customWidth="1"/>
    <col min="14" max="14" width="12.42578125" style="18" customWidth="1"/>
    <col min="15" max="16" width="11" style="18" bestFit="1" customWidth="1"/>
    <col min="17" max="16384" width="9.140625" style="18"/>
  </cols>
  <sheetData>
    <row r="1" spans="1:16" ht="21" x14ac:dyDescent="0.35">
      <c r="C1" s="67" t="s">
        <v>38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4" spans="1:16" x14ac:dyDescent="0.25">
      <c r="C4" s="64" t="s">
        <v>7</v>
      </c>
      <c r="M4" s="18" t="s">
        <v>8</v>
      </c>
      <c r="O4" s="18" t="s">
        <v>8</v>
      </c>
      <c r="P4" s="18" t="s">
        <v>8</v>
      </c>
    </row>
    <row r="5" spans="1:16" x14ac:dyDescent="0.25">
      <c r="C5" s="64" t="s">
        <v>10</v>
      </c>
      <c r="L5" s="18" t="s">
        <v>11</v>
      </c>
      <c r="M5" s="18" t="s">
        <v>12</v>
      </c>
      <c r="N5" s="18" t="s">
        <v>37</v>
      </c>
      <c r="O5" s="18" t="s">
        <v>13</v>
      </c>
      <c r="P5" s="18" t="s">
        <v>13</v>
      </c>
    </row>
    <row r="6" spans="1:16" x14ac:dyDescent="0.25">
      <c r="C6" s="64" t="s">
        <v>14</v>
      </c>
      <c r="E6" s="18" t="s">
        <v>15</v>
      </c>
      <c r="F6" s="18" t="s">
        <v>14</v>
      </c>
      <c r="H6" s="18" t="s">
        <v>16</v>
      </c>
      <c r="I6" s="18" t="s">
        <v>17</v>
      </c>
      <c r="J6" s="18" t="s">
        <v>18</v>
      </c>
      <c r="L6" s="18" t="s">
        <v>19</v>
      </c>
      <c r="M6" s="18" t="s">
        <v>19</v>
      </c>
      <c r="N6" s="18" t="s">
        <v>20</v>
      </c>
      <c r="O6" s="18" t="s">
        <v>37</v>
      </c>
      <c r="P6" s="18" t="s">
        <v>37</v>
      </c>
    </row>
    <row r="7" spans="1:16" x14ac:dyDescent="0.25">
      <c r="C7" s="64" t="s">
        <v>20</v>
      </c>
      <c r="D7" s="18" t="s">
        <v>21</v>
      </c>
      <c r="E7" s="18" t="s">
        <v>9</v>
      </c>
      <c r="F7" s="18" t="s">
        <v>20</v>
      </c>
      <c r="G7" s="18" t="s">
        <v>22</v>
      </c>
      <c r="H7" s="18" t="s">
        <v>23</v>
      </c>
      <c r="I7" s="18" t="s">
        <v>24</v>
      </c>
      <c r="J7" s="18" t="s">
        <v>23</v>
      </c>
      <c r="K7" s="18" t="s">
        <v>25</v>
      </c>
      <c r="L7" s="18" t="s">
        <v>26</v>
      </c>
      <c r="M7" s="5" t="s">
        <v>26</v>
      </c>
      <c r="N7" s="18" t="s">
        <v>19</v>
      </c>
      <c r="O7" s="18" t="s">
        <v>19</v>
      </c>
      <c r="P7" s="18" t="s">
        <v>19</v>
      </c>
    </row>
    <row r="8" spans="1:16" x14ac:dyDescent="0.25">
      <c r="A8" s="25" t="s">
        <v>41</v>
      </c>
      <c r="B8" s="25" t="s">
        <v>43</v>
      </c>
      <c r="C8" s="65" t="s">
        <v>27</v>
      </c>
      <c r="D8" s="7" t="s">
        <v>28</v>
      </c>
      <c r="E8" s="8" t="s">
        <v>29</v>
      </c>
      <c r="F8" s="8" t="s">
        <v>30</v>
      </c>
      <c r="G8" s="8" t="s">
        <v>31</v>
      </c>
      <c r="H8" s="8" t="s">
        <v>31</v>
      </c>
      <c r="I8" s="8" t="s">
        <v>32</v>
      </c>
      <c r="J8" s="8" t="s">
        <v>31</v>
      </c>
      <c r="K8" s="7" t="s">
        <v>12</v>
      </c>
      <c r="L8" s="8" t="s">
        <v>30</v>
      </c>
      <c r="M8" s="8" t="s">
        <v>30</v>
      </c>
      <c r="N8" s="8" t="s">
        <v>30</v>
      </c>
      <c r="O8" s="8" t="s">
        <v>30</v>
      </c>
      <c r="P8" s="8" t="s">
        <v>31</v>
      </c>
    </row>
    <row r="9" spans="1:16" x14ac:dyDescent="0.25">
      <c r="A9" s="18">
        <v>2022</v>
      </c>
      <c r="B9" s="21">
        <v>2023</v>
      </c>
      <c r="C9" s="55">
        <v>917.02832651613699</v>
      </c>
      <c r="D9" s="18">
        <v>1</v>
      </c>
      <c r="E9" s="4">
        <f>'Wind Prices'!C45</f>
        <v>200</v>
      </c>
      <c r="F9" s="3">
        <f t="shared" ref="F9:F31" si="0">E9*D9*C9</f>
        <v>183405.6653032274</v>
      </c>
      <c r="G9" s="9">
        <f>KPCo!$J$10/100</f>
        <v>7.0699999999999999E-2</v>
      </c>
      <c r="H9" s="9">
        <v>2.5000000000000001E-2</v>
      </c>
      <c r="I9" s="18">
        <v>30</v>
      </c>
      <c r="J9" s="2">
        <v>0.26</v>
      </c>
      <c r="K9" s="18" t="s">
        <v>8</v>
      </c>
      <c r="L9" s="3">
        <f t="shared" ref="L9:L31" si="1">G9/(1-(1/(1+G9))^I9)*F9</f>
        <v>14884.069686250672</v>
      </c>
      <c r="M9" s="3">
        <f t="shared" ref="M9:M36" si="2">F9*$F$41</f>
        <v>13623.035160000001</v>
      </c>
      <c r="N9" s="10">
        <f>'Wind Prices'!F9</f>
        <v>13623.035159999999</v>
      </c>
      <c r="O9" s="6">
        <f t="shared" ref="O9:O31" si="3">M9-N9</f>
        <v>0</v>
      </c>
      <c r="P9" s="6">
        <f t="shared" ref="P9:P31" si="4">O9/N9*100</f>
        <v>0</v>
      </c>
    </row>
    <row r="10" spans="1:16" x14ac:dyDescent="0.25">
      <c r="A10" s="18">
        <f>A9+1</f>
        <v>2023</v>
      </c>
      <c r="B10" s="21">
        <f>B9+1</f>
        <v>2024</v>
      </c>
      <c r="C10" s="66">
        <f>C9*'Wind Prices'!I10</f>
        <v>1088.2505913046746</v>
      </c>
      <c r="D10" s="18">
        <v>1</v>
      </c>
      <c r="E10" s="4">
        <f>E9</f>
        <v>200</v>
      </c>
      <c r="F10" s="3">
        <f t="shared" si="0"/>
        <v>217650.11826093492</v>
      </c>
      <c r="G10" s="9">
        <f>KPCo!$J$10/100</f>
        <v>7.0699999999999999E-2</v>
      </c>
      <c r="H10" s="9">
        <v>2.5000000000000001E-2</v>
      </c>
      <c r="I10" s="18">
        <v>30</v>
      </c>
      <c r="J10" s="2">
        <v>0.26</v>
      </c>
      <c r="K10" s="18" t="s">
        <v>8</v>
      </c>
      <c r="L10" s="3">
        <f t="shared" si="1"/>
        <v>17663.13773383449</v>
      </c>
      <c r="M10" s="3">
        <f t="shared" si="2"/>
        <v>16166.650080000001</v>
      </c>
      <c r="N10" s="10">
        <f>'Wind Prices'!F10</f>
        <v>16166.650079999998</v>
      </c>
      <c r="O10" s="6">
        <f t="shared" si="3"/>
        <v>0</v>
      </c>
      <c r="P10" s="6">
        <f t="shared" si="4"/>
        <v>0</v>
      </c>
    </row>
    <row r="11" spans="1:16" x14ac:dyDescent="0.25">
      <c r="A11" s="56">
        <f t="shared" ref="A11:A38" si="5">A10+1</f>
        <v>2024</v>
      </c>
      <c r="B11" s="21">
        <f t="shared" ref="B11:B37" si="6">B10+1</f>
        <v>2025</v>
      </c>
      <c r="C11" s="66">
        <f>C10*'Wind Prices'!I11</f>
        <v>887.29217754343574</v>
      </c>
      <c r="D11" s="18">
        <v>1</v>
      </c>
      <c r="E11" s="4">
        <f t="shared" ref="E11:E36" si="7">E10</f>
        <v>200</v>
      </c>
      <c r="F11" s="3">
        <f t="shared" si="0"/>
        <v>177458.43550868714</v>
      </c>
      <c r="G11" s="9">
        <f>KPCo!$J$10/100</f>
        <v>7.0699999999999999E-2</v>
      </c>
      <c r="H11" s="9">
        <v>2.5000000000000001E-2</v>
      </c>
      <c r="I11" s="18">
        <v>30</v>
      </c>
      <c r="J11" s="2">
        <v>0.26</v>
      </c>
      <c r="K11" s="18" t="s">
        <v>8</v>
      </c>
      <c r="L11" s="3">
        <f t="shared" si="1"/>
        <v>14401.429291496595</v>
      </c>
      <c r="M11" s="3">
        <f t="shared" si="2"/>
        <v>13181.285880000001</v>
      </c>
      <c r="N11" s="10">
        <f>'Wind Prices'!F11</f>
        <v>13181.285879999999</v>
      </c>
      <c r="O11" s="6">
        <f t="shared" si="3"/>
        <v>0</v>
      </c>
      <c r="P11" s="6">
        <f t="shared" si="4"/>
        <v>0</v>
      </c>
    </row>
    <row r="12" spans="1:16" x14ac:dyDescent="0.25">
      <c r="A12" s="56">
        <f t="shared" si="5"/>
        <v>2025</v>
      </c>
      <c r="B12" s="21">
        <f t="shared" si="6"/>
        <v>2026</v>
      </c>
      <c r="C12" s="66">
        <f>C11*'Wind Prices'!I12</f>
        <v>1495.2032463877711</v>
      </c>
      <c r="D12" s="18">
        <v>1</v>
      </c>
      <c r="E12" s="4">
        <f t="shared" si="7"/>
        <v>200</v>
      </c>
      <c r="F12" s="3">
        <f t="shared" si="0"/>
        <v>299040.64927755418</v>
      </c>
      <c r="G12" s="9">
        <f>KPCo!$J$10/100</f>
        <v>7.0699999999999999E-2</v>
      </c>
      <c r="H12" s="9">
        <v>2.5000000000000001E-2</v>
      </c>
      <c r="I12" s="18">
        <v>30</v>
      </c>
      <c r="J12" s="2">
        <v>0.26</v>
      </c>
      <c r="K12" s="18" t="s">
        <v>8</v>
      </c>
      <c r="L12" s="3">
        <f t="shared" si="1"/>
        <v>24268.289943551921</v>
      </c>
      <c r="M12" s="3">
        <f t="shared" si="2"/>
        <v>22212.188880000002</v>
      </c>
      <c r="N12" s="10">
        <f>'Wind Prices'!F12</f>
        <v>22212.188879999998</v>
      </c>
      <c r="O12" s="6">
        <f t="shared" si="3"/>
        <v>0</v>
      </c>
      <c r="P12" s="6">
        <f t="shared" si="4"/>
        <v>0</v>
      </c>
    </row>
    <row r="13" spans="1:16" x14ac:dyDescent="0.25">
      <c r="A13" s="56">
        <f t="shared" si="5"/>
        <v>2026</v>
      </c>
      <c r="B13" s="21">
        <f t="shared" si="6"/>
        <v>2027</v>
      </c>
      <c r="C13" s="66">
        <f>C12*'Wind Prices'!I13</f>
        <v>1513.2496710558237</v>
      </c>
      <c r="D13" s="18">
        <v>1</v>
      </c>
      <c r="E13" s="4">
        <f t="shared" si="7"/>
        <v>200</v>
      </c>
      <c r="F13" s="3">
        <f t="shared" si="0"/>
        <v>302649.93421116471</v>
      </c>
      <c r="G13" s="9">
        <f>KPCo!$J$10/100</f>
        <v>7.0699999999999999E-2</v>
      </c>
      <c r="H13" s="9">
        <v>2.5000000000000001E-2</v>
      </c>
      <c r="I13" s="18">
        <v>30</v>
      </c>
      <c r="J13" s="2">
        <v>0.26</v>
      </c>
      <c r="K13" s="18" t="s">
        <v>8</v>
      </c>
      <c r="L13" s="3">
        <f t="shared" si="1"/>
        <v>24561.197190340488</v>
      </c>
      <c r="M13" s="3">
        <f t="shared" si="2"/>
        <v>22480.279920000001</v>
      </c>
      <c r="N13" s="10">
        <f>'Wind Prices'!F13</f>
        <v>22480.279919999997</v>
      </c>
      <c r="O13" s="6">
        <f t="shared" si="3"/>
        <v>0</v>
      </c>
      <c r="P13" s="6">
        <f t="shared" si="4"/>
        <v>0</v>
      </c>
    </row>
    <row r="14" spans="1:16" x14ac:dyDescent="0.25">
      <c r="A14" s="27">
        <f t="shared" si="5"/>
        <v>2027</v>
      </c>
      <c r="B14" s="21">
        <f t="shared" si="6"/>
        <v>2028</v>
      </c>
      <c r="C14" s="66">
        <f>C13*'Wind Prices'!I14</f>
        <v>1529.5129174401159</v>
      </c>
      <c r="D14" s="18">
        <v>1</v>
      </c>
      <c r="E14" s="4">
        <f t="shared" si="7"/>
        <v>200</v>
      </c>
      <c r="F14" s="3">
        <f t="shared" si="0"/>
        <v>305902.5834880232</v>
      </c>
      <c r="G14" s="9">
        <f>KPCo!$J$10/100</f>
        <v>7.0699999999999999E-2</v>
      </c>
      <c r="H14" s="9">
        <v>2.5000000000000001E-2</v>
      </c>
      <c r="I14" s="18">
        <v>30</v>
      </c>
      <c r="J14" s="2">
        <v>0.26</v>
      </c>
      <c r="K14" s="18" t="s">
        <v>8</v>
      </c>
      <c r="L14" s="3">
        <f t="shared" si="1"/>
        <v>24825.162092524144</v>
      </c>
      <c r="M14" s="3">
        <f t="shared" si="2"/>
        <v>22721.880720000001</v>
      </c>
      <c r="N14" s="10">
        <f>'Wind Prices'!F14</f>
        <v>22721.880719999994</v>
      </c>
      <c r="O14" s="6">
        <f t="shared" si="3"/>
        <v>0</v>
      </c>
      <c r="P14" s="6">
        <f t="shared" si="4"/>
        <v>0</v>
      </c>
    </row>
    <row r="15" spans="1:16" x14ac:dyDescent="0.25">
      <c r="A15" s="27">
        <f t="shared" si="5"/>
        <v>2028</v>
      </c>
      <c r="B15" s="21">
        <f t="shared" si="6"/>
        <v>2029</v>
      </c>
      <c r="C15" s="66">
        <f>C14*'Wind Prices'!I15</f>
        <v>1549.0700903763543</v>
      </c>
      <c r="D15" s="18">
        <v>1</v>
      </c>
      <c r="E15" s="4">
        <f t="shared" si="7"/>
        <v>200</v>
      </c>
      <c r="F15" s="3">
        <f t="shared" si="0"/>
        <v>309814.01807527087</v>
      </c>
      <c r="G15" s="9">
        <f>KPCo!$J$10/100</f>
        <v>7.0699999999999999E-2</v>
      </c>
      <c r="H15" s="9">
        <v>2.5000000000000001E-2</v>
      </c>
      <c r="I15" s="18">
        <v>30</v>
      </c>
      <c r="J15" s="2">
        <v>0.26</v>
      </c>
      <c r="K15" s="18" t="s">
        <v>8</v>
      </c>
      <c r="L15" s="3">
        <f t="shared" si="1"/>
        <v>25142.589936825207</v>
      </c>
      <c r="M15" s="3">
        <f t="shared" si="2"/>
        <v>23012.414880000004</v>
      </c>
      <c r="N15" s="10">
        <f>'Wind Prices'!F15</f>
        <v>23012.414879999997</v>
      </c>
      <c r="O15" s="6">
        <f t="shared" si="3"/>
        <v>0</v>
      </c>
      <c r="P15" s="6">
        <f t="shared" si="4"/>
        <v>0</v>
      </c>
    </row>
    <row r="16" spans="1:16" x14ac:dyDescent="0.25">
      <c r="A16" s="27">
        <f t="shared" si="5"/>
        <v>2029</v>
      </c>
      <c r="B16" s="21">
        <f t="shared" si="6"/>
        <v>2030</v>
      </c>
      <c r="C16" s="66">
        <f>C15*'Wind Prices'!I16</f>
        <v>1567.1743032295287</v>
      </c>
      <c r="D16" s="18">
        <v>1</v>
      </c>
      <c r="E16" s="4">
        <f t="shared" si="7"/>
        <v>200</v>
      </c>
      <c r="F16" s="3">
        <f t="shared" si="0"/>
        <v>313434.86064590572</v>
      </c>
      <c r="G16" s="9">
        <f>KPCo!$J$10/100</f>
        <v>7.0699999999999999E-2</v>
      </c>
      <c r="H16" s="9">
        <v>2.5000000000000001E-2</v>
      </c>
      <c r="I16" s="18">
        <v>30</v>
      </c>
      <c r="J16" s="2">
        <v>0.26</v>
      </c>
      <c r="K16" s="18" t="s">
        <v>8</v>
      </c>
      <c r="L16" s="3">
        <f t="shared" si="1"/>
        <v>25436.435129966703</v>
      </c>
      <c r="M16" s="3">
        <f t="shared" si="2"/>
        <v>23281.364400000002</v>
      </c>
      <c r="N16" s="10">
        <f>'Wind Prices'!F16</f>
        <v>23281.364399999995</v>
      </c>
      <c r="O16" s="6">
        <f t="shared" si="3"/>
        <v>0</v>
      </c>
      <c r="P16" s="6">
        <f t="shared" si="4"/>
        <v>0</v>
      </c>
    </row>
    <row r="17" spans="1:16" x14ac:dyDescent="0.25">
      <c r="A17" s="27">
        <f t="shared" si="5"/>
        <v>2030</v>
      </c>
      <c r="B17" s="21">
        <f t="shared" si="6"/>
        <v>2031</v>
      </c>
      <c r="C17" s="66">
        <f>C16*'Wind Prices'!I17</f>
        <v>1584.3332664832101</v>
      </c>
      <c r="D17" s="18">
        <v>1</v>
      </c>
      <c r="E17" s="4">
        <f t="shared" si="7"/>
        <v>200</v>
      </c>
      <c r="F17" s="3">
        <f t="shared" si="0"/>
        <v>316866.65329664201</v>
      </c>
      <c r="G17" s="9">
        <f>KPCo!$J$10/100</f>
        <v>7.0699999999999999E-2</v>
      </c>
      <c r="H17" s="9">
        <v>2.5000000000000001E-2</v>
      </c>
      <c r="I17" s="18">
        <v>30</v>
      </c>
      <c r="J17" s="2">
        <v>0.26</v>
      </c>
      <c r="K17" s="18" t="s">
        <v>8</v>
      </c>
      <c r="L17" s="3">
        <f t="shared" si="1"/>
        <v>25714.938200620887</v>
      </c>
      <c r="M17" s="3">
        <f t="shared" si="2"/>
        <v>23536.271640000006</v>
      </c>
      <c r="N17" s="10">
        <f>'Wind Prices'!F17</f>
        <v>23536.271639999999</v>
      </c>
      <c r="O17" s="6">
        <f t="shared" si="3"/>
        <v>0</v>
      </c>
      <c r="P17" s="6">
        <f t="shared" si="4"/>
        <v>0</v>
      </c>
    </row>
    <row r="18" spans="1:16" x14ac:dyDescent="0.25">
      <c r="A18" s="27">
        <f t="shared" si="5"/>
        <v>2031</v>
      </c>
      <c r="B18" s="21">
        <f t="shared" si="6"/>
        <v>2032</v>
      </c>
      <c r="C18" s="66">
        <f>C17*'Wind Prices'!I18</f>
        <v>1598.2065586399631</v>
      </c>
      <c r="D18" s="18">
        <v>1</v>
      </c>
      <c r="E18" s="4">
        <f t="shared" si="7"/>
        <v>200</v>
      </c>
      <c r="F18" s="3">
        <f t="shared" si="0"/>
        <v>319641.31172799261</v>
      </c>
      <c r="G18" s="9">
        <f>KPCo!$J$10/100</f>
        <v>7.0699999999999999E-2</v>
      </c>
      <c r="H18" s="9">
        <v>2.5000000000000001E-2</v>
      </c>
      <c r="I18" s="18">
        <v>30</v>
      </c>
      <c r="J18" s="2">
        <v>0.26</v>
      </c>
      <c r="K18" s="18" t="s">
        <v>8</v>
      </c>
      <c r="L18" s="3">
        <f t="shared" si="1"/>
        <v>25940.112321493794</v>
      </c>
      <c r="M18" s="3">
        <f t="shared" si="2"/>
        <v>23742.368160000005</v>
      </c>
      <c r="N18" s="10">
        <f>'Wind Prices'!F18</f>
        <v>23742.368159999998</v>
      </c>
      <c r="O18" s="6">
        <f t="shared" si="3"/>
        <v>0</v>
      </c>
      <c r="P18" s="6">
        <f t="shared" si="4"/>
        <v>0</v>
      </c>
    </row>
    <row r="19" spans="1:16" x14ac:dyDescent="0.25">
      <c r="A19" s="27">
        <f t="shared" si="5"/>
        <v>2032</v>
      </c>
      <c r="B19" s="21">
        <f t="shared" si="6"/>
        <v>2033</v>
      </c>
      <c r="C19" s="66">
        <f>C18*'Wind Prices'!I19</f>
        <v>1610.5773579835482</v>
      </c>
      <c r="D19" s="18">
        <v>1</v>
      </c>
      <c r="E19" s="4">
        <f t="shared" si="7"/>
        <v>200</v>
      </c>
      <c r="F19" s="3">
        <f t="shared" si="0"/>
        <v>322115.47159670963</v>
      </c>
      <c r="G19" s="9">
        <f>KPCo!$J$10/100</f>
        <v>7.0699999999999999E-2</v>
      </c>
      <c r="H19" s="9">
        <v>2.5000000000000001E-2</v>
      </c>
      <c r="I19" s="18">
        <v>30</v>
      </c>
      <c r="J19" s="2">
        <v>0.26</v>
      </c>
      <c r="K19" s="18" t="s">
        <v>8</v>
      </c>
      <c r="L19" s="3">
        <f t="shared" si="1"/>
        <v>26140.899837190351</v>
      </c>
      <c r="M19" s="3">
        <f t="shared" si="2"/>
        <v>23926.144200000006</v>
      </c>
      <c r="N19" s="10">
        <f>'Wind Prices'!F19</f>
        <v>23926.144199999999</v>
      </c>
      <c r="O19" s="6">
        <f t="shared" si="3"/>
        <v>0</v>
      </c>
      <c r="P19" s="6">
        <f t="shared" si="4"/>
        <v>0</v>
      </c>
    </row>
    <row r="20" spans="1:16" x14ac:dyDescent="0.25">
      <c r="A20" s="27">
        <f t="shared" si="5"/>
        <v>2033</v>
      </c>
      <c r="B20" s="21">
        <f t="shared" si="6"/>
        <v>2034</v>
      </c>
      <c r="C20" s="66">
        <f>C19*'Wind Prices'!I20</f>
        <v>1620.9255708478684</v>
      </c>
      <c r="D20" s="18">
        <v>1</v>
      </c>
      <c r="E20" s="4">
        <f t="shared" si="7"/>
        <v>200</v>
      </c>
      <c r="F20" s="3">
        <f t="shared" si="0"/>
        <v>324185.11416957364</v>
      </c>
      <c r="G20" s="9">
        <f>KPCo!$J$10/100</f>
        <v>7.0699999999999999E-2</v>
      </c>
      <c r="H20" s="9">
        <v>2.5000000000000001E-2</v>
      </c>
      <c r="I20" s="18">
        <v>30</v>
      </c>
      <c r="J20" s="2">
        <v>0.26</v>
      </c>
      <c r="K20" s="18" t="s">
        <v>8</v>
      </c>
      <c r="L20" s="3">
        <f t="shared" si="1"/>
        <v>26308.859230534112</v>
      </c>
      <c r="M20" s="3">
        <f t="shared" si="2"/>
        <v>24079.873440000007</v>
      </c>
      <c r="N20" s="10">
        <f>'Wind Prices'!F20</f>
        <v>24079.873439999999</v>
      </c>
      <c r="O20" s="6">
        <f t="shared" si="3"/>
        <v>0</v>
      </c>
      <c r="P20" s="6">
        <f t="shared" si="4"/>
        <v>0</v>
      </c>
    </row>
    <row r="21" spans="1:16" x14ac:dyDescent="0.25">
      <c r="A21" s="27">
        <f t="shared" si="5"/>
        <v>2034</v>
      </c>
      <c r="B21" s="21">
        <f t="shared" si="6"/>
        <v>2035</v>
      </c>
      <c r="C21" s="66">
        <f>C20*'Wind Prices'!I21</f>
        <v>1630.2831291100995</v>
      </c>
      <c r="D21" s="18">
        <v>1</v>
      </c>
      <c r="E21" s="4">
        <f t="shared" si="7"/>
        <v>200</v>
      </c>
      <c r="F21" s="3">
        <f t="shared" si="0"/>
        <v>326056.62582201988</v>
      </c>
      <c r="G21" s="9">
        <f>KPCo!$J$10/100</f>
        <v>7.0699999999999999E-2</v>
      </c>
      <c r="H21" s="9">
        <v>2.5000000000000001E-2</v>
      </c>
      <c r="I21" s="18">
        <v>30</v>
      </c>
      <c r="J21" s="2">
        <v>0.26</v>
      </c>
      <c r="K21" s="18" t="s">
        <v>8</v>
      </c>
      <c r="L21" s="3">
        <f t="shared" si="1"/>
        <v>26460.739543541815</v>
      </c>
      <c r="M21" s="3">
        <f t="shared" si="2"/>
        <v>24218.885880000005</v>
      </c>
      <c r="N21" s="10">
        <f>'Wind Prices'!F21</f>
        <v>24218.885879999998</v>
      </c>
      <c r="O21" s="6">
        <f t="shared" si="3"/>
        <v>0</v>
      </c>
      <c r="P21" s="6">
        <f t="shared" si="4"/>
        <v>0</v>
      </c>
    </row>
    <row r="22" spans="1:16" x14ac:dyDescent="0.25">
      <c r="A22" s="27">
        <f t="shared" si="5"/>
        <v>2035</v>
      </c>
      <c r="B22" s="21">
        <f t="shared" si="6"/>
        <v>2036</v>
      </c>
      <c r="C22" s="66">
        <f>C21*'Wind Prices'!I22</f>
        <v>1638.5922445851199</v>
      </c>
      <c r="D22" s="18">
        <v>1</v>
      </c>
      <c r="E22" s="4">
        <f t="shared" si="7"/>
        <v>200</v>
      </c>
      <c r="F22" s="3">
        <f t="shared" si="0"/>
        <v>327718.44891702401</v>
      </c>
      <c r="G22" s="9">
        <f>KPCo!$J$10/100</f>
        <v>7.0699999999999999E-2</v>
      </c>
      <c r="H22" s="9">
        <v>2.5000000000000001E-2</v>
      </c>
      <c r="I22" s="18">
        <v>30</v>
      </c>
      <c r="J22" s="2">
        <v>0.26</v>
      </c>
      <c r="K22" s="18" t="s">
        <v>8</v>
      </c>
      <c r="L22" s="3">
        <f t="shared" si="1"/>
        <v>26595.602829860523</v>
      </c>
      <c r="M22" s="3">
        <f t="shared" si="2"/>
        <v>24342.323040000007</v>
      </c>
      <c r="N22" s="10">
        <f>'Wind Prices'!F22</f>
        <v>24342.323039999996</v>
      </c>
      <c r="O22" s="6">
        <f t="shared" si="3"/>
        <v>0</v>
      </c>
      <c r="P22" s="6">
        <f t="shared" si="4"/>
        <v>0</v>
      </c>
    </row>
    <row r="23" spans="1:16" x14ac:dyDescent="0.25">
      <c r="A23" s="27">
        <f t="shared" si="5"/>
        <v>2036</v>
      </c>
      <c r="B23" s="21">
        <f t="shared" si="6"/>
        <v>2037</v>
      </c>
      <c r="C23" s="66">
        <f>C22*'Wind Prices'!I23</f>
        <v>1647.7681828369687</v>
      </c>
      <c r="D23" s="18">
        <v>1</v>
      </c>
      <c r="E23" s="4">
        <f t="shared" si="7"/>
        <v>200</v>
      </c>
      <c r="F23" s="3">
        <f t="shared" si="0"/>
        <v>329553.63656739373</v>
      </c>
      <c r="G23" s="9">
        <f>KPCo!$J$10/100</f>
        <v>7.0699999999999999E-2</v>
      </c>
      <c r="H23" s="9">
        <v>2.5000000000000001E-2</v>
      </c>
      <c r="I23" s="18">
        <v>30</v>
      </c>
      <c r="J23" s="2">
        <v>0.26</v>
      </c>
      <c r="K23" s="18" t="s">
        <v>8</v>
      </c>
      <c r="L23" s="3">
        <f t="shared" si="1"/>
        <v>26744.535311473286</v>
      </c>
      <c r="M23" s="3">
        <f t="shared" si="2"/>
        <v>24478.637400000011</v>
      </c>
      <c r="N23" s="10">
        <f>'Wind Prices'!F23</f>
        <v>24478.637399999996</v>
      </c>
      <c r="O23" s="6">
        <f t="shared" si="3"/>
        <v>0</v>
      </c>
      <c r="P23" s="6">
        <f t="shared" si="4"/>
        <v>0</v>
      </c>
    </row>
    <row r="24" spans="1:16" x14ac:dyDescent="0.25">
      <c r="A24" s="27">
        <f t="shared" si="5"/>
        <v>2037</v>
      </c>
      <c r="B24" s="21">
        <f t="shared" si="6"/>
        <v>2038</v>
      </c>
      <c r="C24" s="66">
        <f>C23*'Wind Prices'!I24</f>
        <v>1655.1939646251265</v>
      </c>
      <c r="D24" s="18">
        <v>1</v>
      </c>
      <c r="E24" s="4">
        <f t="shared" si="7"/>
        <v>200</v>
      </c>
      <c r="F24" s="3">
        <f t="shared" si="0"/>
        <v>331038.79292502528</v>
      </c>
      <c r="G24" s="9">
        <f>KPCo!$J$10/100</f>
        <v>7.0699999999999999E-2</v>
      </c>
      <c r="H24" s="9">
        <v>2.5000000000000001E-2</v>
      </c>
      <c r="I24" s="18">
        <v>30</v>
      </c>
      <c r="J24" s="2">
        <v>0.26</v>
      </c>
      <c r="K24" s="18" t="s">
        <v>8</v>
      </c>
      <c r="L24" s="3">
        <f t="shared" si="1"/>
        <v>26865.061417825669</v>
      </c>
      <c r="M24" s="3">
        <f t="shared" si="2"/>
        <v>24588.95208000001</v>
      </c>
      <c r="N24" s="10">
        <f>'Wind Prices'!F24</f>
        <v>24588.952079999995</v>
      </c>
      <c r="O24" s="6">
        <f t="shared" si="3"/>
        <v>0</v>
      </c>
      <c r="P24" s="6">
        <f t="shared" si="4"/>
        <v>0</v>
      </c>
    </row>
    <row r="25" spans="1:16" x14ac:dyDescent="0.25">
      <c r="A25" s="27">
        <f t="shared" si="5"/>
        <v>2038</v>
      </c>
      <c r="B25" s="21">
        <f t="shared" si="6"/>
        <v>2039</v>
      </c>
      <c r="C25" s="66">
        <f>C24*'Wind Prices'!I25</f>
        <v>1661.7942009115438</v>
      </c>
      <c r="D25" s="18">
        <v>1</v>
      </c>
      <c r="E25" s="4">
        <f t="shared" si="7"/>
        <v>200</v>
      </c>
      <c r="F25" s="3">
        <f t="shared" si="0"/>
        <v>332358.84018230875</v>
      </c>
      <c r="G25" s="9">
        <f>KPCo!$J$10/100</f>
        <v>7.0699999999999999E-2</v>
      </c>
      <c r="H25" s="9">
        <v>2.5000000000000001E-2</v>
      </c>
      <c r="I25" s="18">
        <v>30</v>
      </c>
      <c r="J25" s="2">
        <v>0.26</v>
      </c>
      <c r="K25" s="18" t="s">
        <v>8</v>
      </c>
      <c r="L25" s="3">
        <f t="shared" si="1"/>
        <v>26972.188290564671</v>
      </c>
      <c r="M25" s="3">
        <f t="shared" si="2"/>
        <v>24687.00276000001</v>
      </c>
      <c r="N25" s="10">
        <f>'Wind Prices'!F25</f>
        <v>24687.002759999999</v>
      </c>
      <c r="O25" s="6">
        <f t="shared" si="3"/>
        <v>0</v>
      </c>
      <c r="P25" s="6">
        <f t="shared" si="4"/>
        <v>0</v>
      </c>
    </row>
    <row r="26" spans="1:16" x14ac:dyDescent="0.25">
      <c r="A26" s="27">
        <f t="shared" si="5"/>
        <v>2039</v>
      </c>
      <c r="B26" s="21">
        <f t="shared" si="6"/>
        <v>2040</v>
      </c>
      <c r="C26" s="66">
        <f>C25*'Wind Prices'!I26</f>
        <v>1670.4913227723819</v>
      </c>
      <c r="D26" s="18">
        <v>1</v>
      </c>
      <c r="E26" s="4">
        <f t="shared" si="7"/>
        <v>200</v>
      </c>
      <c r="F26" s="3">
        <f t="shared" si="0"/>
        <v>334098.26455447637</v>
      </c>
      <c r="G26" s="9">
        <f>KPCo!$J$10/100</f>
        <v>7.0699999999999999E-2</v>
      </c>
      <c r="H26" s="9">
        <v>2.5000000000000001E-2</v>
      </c>
      <c r="I26" s="18">
        <v>30</v>
      </c>
      <c r="J26" s="2">
        <v>0.26</v>
      </c>
      <c r="K26" s="18" t="s">
        <v>8</v>
      </c>
      <c r="L26" s="3">
        <f t="shared" si="1"/>
        <v>27113.349216681658</v>
      </c>
      <c r="M26" s="3">
        <f t="shared" si="2"/>
        <v>24816.204000000002</v>
      </c>
      <c r="N26" s="10">
        <f>'Wind Prices'!F26</f>
        <v>24816.203999999991</v>
      </c>
      <c r="O26" s="6">
        <f t="shared" si="3"/>
        <v>0</v>
      </c>
      <c r="P26" s="6">
        <f t="shared" si="4"/>
        <v>0</v>
      </c>
    </row>
    <row r="27" spans="1:16" x14ac:dyDescent="0.25">
      <c r="A27" s="27">
        <f t="shared" si="5"/>
        <v>2040</v>
      </c>
      <c r="B27" s="21">
        <f t="shared" si="6"/>
        <v>2041</v>
      </c>
      <c r="C27" s="66">
        <f>C26*'Wind Prices'!I27</f>
        <v>1680.7239592664585</v>
      </c>
      <c r="D27" s="18">
        <v>1</v>
      </c>
      <c r="E27" s="4">
        <f t="shared" si="7"/>
        <v>200</v>
      </c>
      <c r="F27" s="3">
        <f t="shared" si="0"/>
        <v>336144.79185329168</v>
      </c>
      <c r="G27" s="9">
        <f>KPCo!$J$10/100</f>
        <v>7.0699999999999999E-2</v>
      </c>
      <c r="H27" s="9">
        <v>2.5000000000000001E-2</v>
      </c>
      <c r="I27" s="18">
        <v>30</v>
      </c>
      <c r="J27" s="2">
        <v>0.26</v>
      </c>
      <c r="K27" s="18" t="s">
        <v>8</v>
      </c>
      <c r="L27" s="3">
        <f t="shared" si="1"/>
        <v>27279.432717319549</v>
      </c>
      <c r="M27" s="3">
        <f t="shared" si="2"/>
        <v>24968.216280000004</v>
      </c>
      <c r="N27" s="10">
        <f>'Wind Prices'!F27</f>
        <v>24968.216279999997</v>
      </c>
      <c r="O27" s="6">
        <f t="shared" si="3"/>
        <v>0</v>
      </c>
      <c r="P27" s="6">
        <f t="shared" si="4"/>
        <v>0</v>
      </c>
    </row>
    <row r="28" spans="1:16" x14ac:dyDescent="0.25">
      <c r="A28" s="27">
        <f t="shared" si="5"/>
        <v>2041</v>
      </c>
      <c r="B28" s="21">
        <f t="shared" si="6"/>
        <v>2042</v>
      </c>
      <c r="C28" s="66">
        <f>C27*'Wind Prices'!I28</f>
        <v>1690.2920316316338</v>
      </c>
      <c r="D28" s="18">
        <v>1</v>
      </c>
      <c r="E28" s="4">
        <f t="shared" si="7"/>
        <v>200</v>
      </c>
      <c r="F28" s="3">
        <f t="shared" si="0"/>
        <v>338058.40632632677</v>
      </c>
      <c r="G28" s="9">
        <f>KPCo!$J$10/100</f>
        <v>7.0699999999999999E-2</v>
      </c>
      <c r="H28" s="9">
        <v>2.5000000000000001E-2</v>
      </c>
      <c r="I28" s="18">
        <v>30</v>
      </c>
      <c r="J28" s="2">
        <v>0.26</v>
      </c>
      <c r="K28" s="18" t="s">
        <v>8</v>
      </c>
      <c r="L28" s="3">
        <f t="shared" si="1"/>
        <v>27434.72983489867</v>
      </c>
      <c r="M28" s="3">
        <f t="shared" si="2"/>
        <v>25110.35604000001</v>
      </c>
      <c r="N28" s="10">
        <f>'Wind Prices'!F28</f>
        <v>25110.356039999999</v>
      </c>
      <c r="O28" s="6">
        <f t="shared" si="3"/>
        <v>0</v>
      </c>
      <c r="P28" s="6">
        <f t="shared" si="4"/>
        <v>0</v>
      </c>
    </row>
    <row r="29" spans="1:16" x14ac:dyDescent="0.25">
      <c r="A29" s="27">
        <f t="shared" si="5"/>
        <v>2042</v>
      </c>
      <c r="B29" s="21">
        <f t="shared" si="6"/>
        <v>2043</v>
      </c>
      <c r="C29" s="66">
        <f>C28*'Wind Prices'!I29</f>
        <v>1701.028250881772</v>
      </c>
      <c r="D29" s="18">
        <v>1</v>
      </c>
      <c r="E29" s="4">
        <f t="shared" si="7"/>
        <v>200</v>
      </c>
      <c r="F29" s="3">
        <f t="shared" si="0"/>
        <v>340205.65017635439</v>
      </c>
      <c r="G29" s="9">
        <f>KPCo!$J$10/100</f>
        <v>7.0699999999999999E-2</v>
      </c>
      <c r="H29" s="9">
        <v>2.5000000000000001E-2</v>
      </c>
      <c r="I29" s="18">
        <v>30</v>
      </c>
      <c r="J29" s="2">
        <v>0.26</v>
      </c>
      <c r="K29" s="18" t="s">
        <v>8</v>
      </c>
      <c r="L29" s="3">
        <f t="shared" si="1"/>
        <v>27608.98686804072</v>
      </c>
      <c r="M29" s="3">
        <f t="shared" si="2"/>
        <v>25269.849360000007</v>
      </c>
      <c r="N29" s="10">
        <f>'Wind Prices'!F29</f>
        <v>25269.849359999993</v>
      </c>
      <c r="O29" s="6">
        <f t="shared" si="3"/>
        <v>0</v>
      </c>
      <c r="P29" s="6">
        <f t="shared" si="4"/>
        <v>0</v>
      </c>
    </row>
    <row r="30" spans="1:16" x14ac:dyDescent="0.25">
      <c r="A30" s="27">
        <f t="shared" si="5"/>
        <v>2043</v>
      </c>
      <c r="B30" s="21">
        <f t="shared" si="6"/>
        <v>2044</v>
      </c>
      <c r="C30" s="66">
        <f>C29*'Wind Prices'!I30</f>
        <v>1713.8283338862618</v>
      </c>
      <c r="D30" s="18">
        <v>1</v>
      </c>
      <c r="E30" s="4">
        <f t="shared" si="7"/>
        <v>200</v>
      </c>
      <c r="F30" s="3">
        <f t="shared" si="0"/>
        <v>342765.66677725234</v>
      </c>
      <c r="G30" s="9">
        <f>KPCo!$J$10/100</f>
        <v>7.0699999999999999E-2</v>
      </c>
      <c r="H30" s="9">
        <v>2.5000000000000001E-2</v>
      </c>
      <c r="I30" s="18">
        <v>30</v>
      </c>
      <c r="J30" s="2">
        <v>0.26</v>
      </c>
      <c r="K30" s="18" t="s">
        <v>8</v>
      </c>
      <c r="L30" s="3">
        <f t="shared" si="1"/>
        <v>27816.741985216227</v>
      </c>
      <c r="M30" s="3">
        <f t="shared" si="2"/>
        <v>25460.002680000001</v>
      </c>
      <c r="N30" s="10">
        <f>'Wind Prices'!F30</f>
        <v>25460.002679999994</v>
      </c>
      <c r="O30" s="6">
        <f t="shared" si="3"/>
        <v>0</v>
      </c>
      <c r="P30" s="6">
        <f t="shared" si="4"/>
        <v>0</v>
      </c>
    </row>
    <row r="31" spans="1:16" x14ac:dyDescent="0.25">
      <c r="A31" s="27">
        <f t="shared" si="5"/>
        <v>2044</v>
      </c>
      <c r="B31" s="21">
        <f t="shared" si="6"/>
        <v>2045</v>
      </c>
      <c r="C31" s="66">
        <f>C30*'Wind Prices'!I31</f>
        <v>1725.150690442636</v>
      </c>
      <c r="D31" s="18">
        <v>1</v>
      </c>
      <c r="E31" s="4">
        <f t="shared" si="7"/>
        <v>200</v>
      </c>
      <c r="F31" s="3">
        <f t="shared" si="0"/>
        <v>345030.13808852719</v>
      </c>
      <c r="G31" s="9">
        <f>KPCo!$J$10/100</f>
        <v>7.0699999999999999E-2</v>
      </c>
      <c r="H31" s="9">
        <v>2.5000000000000001E-2</v>
      </c>
      <c r="I31" s="18">
        <v>30</v>
      </c>
      <c r="J31" s="2">
        <v>0.26</v>
      </c>
      <c r="K31" s="18" t="s">
        <v>8</v>
      </c>
      <c r="L31" s="3">
        <f t="shared" si="1"/>
        <v>28000.512474223782</v>
      </c>
      <c r="M31" s="3">
        <f t="shared" si="2"/>
        <v>25628.203440000001</v>
      </c>
      <c r="N31" s="10">
        <f>'Wind Prices'!F31</f>
        <v>25628.203439999994</v>
      </c>
      <c r="O31" s="6">
        <f t="shared" si="3"/>
        <v>0</v>
      </c>
      <c r="P31" s="6">
        <f t="shared" si="4"/>
        <v>0</v>
      </c>
    </row>
    <row r="32" spans="1:16" x14ac:dyDescent="0.25">
      <c r="A32" s="27">
        <f t="shared" si="5"/>
        <v>2045</v>
      </c>
      <c r="B32" s="21">
        <f t="shared" si="6"/>
        <v>2046</v>
      </c>
      <c r="C32" s="66">
        <f>C31*'Wind Prices'!I32</f>
        <v>1736.6670501919193</v>
      </c>
      <c r="D32" s="18">
        <v>1</v>
      </c>
      <c r="E32" s="4">
        <f t="shared" si="7"/>
        <v>200</v>
      </c>
      <c r="F32" s="3">
        <f>E32*D32*C32</f>
        <v>347333.41003838385</v>
      </c>
      <c r="G32" s="9">
        <f>KPCo!$J$10/100</f>
        <v>7.0699999999999999E-2</v>
      </c>
      <c r="H32" s="9">
        <v>2.5000000000000001E-2</v>
      </c>
      <c r="I32" s="18">
        <v>30</v>
      </c>
      <c r="J32" s="2">
        <v>0.26</v>
      </c>
      <c r="K32" s="18" t="s">
        <v>8</v>
      </c>
      <c r="L32" s="3">
        <f>G32/(1-(1/(1+G32))^I32)*F32</f>
        <v>28187.431783130483</v>
      </c>
      <c r="M32" s="3">
        <f t="shared" si="2"/>
        <v>25799.286240000001</v>
      </c>
      <c r="N32" s="10">
        <f>'Wind Prices'!F32</f>
        <v>25799.286239999998</v>
      </c>
      <c r="O32" s="6">
        <f>M32-N32</f>
        <v>0</v>
      </c>
      <c r="P32" s="6">
        <f>O32/N32*100</f>
        <v>0</v>
      </c>
    </row>
    <row r="33" spans="1:16" x14ac:dyDescent="0.25">
      <c r="A33" s="27">
        <f t="shared" si="5"/>
        <v>2046</v>
      </c>
      <c r="B33" s="21">
        <f t="shared" si="6"/>
        <v>2047</v>
      </c>
      <c r="C33" s="66">
        <f>C32*'Wind Prices'!I33</f>
        <v>1747.6096558174931</v>
      </c>
      <c r="D33" s="18">
        <v>1</v>
      </c>
      <c r="E33" s="4">
        <f t="shared" si="7"/>
        <v>200</v>
      </c>
      <c r="F33" s="3">
        <f>E33*D33*C33</f>
        <v>349521.93116349861</v>
      </c>
      <c r="G33" s="9">
        <f>KPCo!$J$10/100</f>
        <v>7.0699999999999999E-2</v>
      </c>
      <c r="H33" s="9">
        <v>2.5000000000000001E-2</v>
      </c>
      <c r="I33" s="18">
        <v>30</v>
      </c>
      <c r="J33" s="2">
        <v>0.26</v>
      </c>
      <c r="K33" s="18" t="s">
        <v>8</v>
      </c>
      <c r="L33" s="3">
        <f>G33/(1-(1/(1+G33))^I33)*F33</f>
        <v>28365.03862467589</v>
      </c>
      <c r="M33" s="3">
        <f t="shared" si="2"/>
        <v>25961.845560000005</v>
      </c>
      <c r="N33" s="10">
        <f>'Wind Prices'!F33</f>
        <v>25961.845559999998</v>
      </c>
      <c r="O33" s="6">
        <f>M33-N33</f>
        <v>0</v>
      </c>
      <c r="P33" s="6">
        <f>O33/N33*100</f>
        <v>0</v>
      </c>
    </row>
    <row r="34" spans="1:16" x14ac:dyDescent="0.25">
      <c r="A34" s="27">
        <f t="shared" si="5"/>
        <v>2047</v>
      </c>
      <c r="B34" s="21">
        <f t="shared" si="6"/>
        <v>2048</v>
      </c>
      <c r="C34" s="66">
        <f>C33*'Wind Prices'!I34</f>
        <v>1758.4201741627876</v>
      </c>
      <c r="D34" s="18">
        <v>1</v>
      </c>
      <c r="E34" s="4">
        <f t="shared" si="7"/>
        <v>200</v>
      </c>
      <c r="F34" s="3">
        <f>E34*D34*C34</f>
        <v>351684.03483255755</v>
      </c>
      <c r="G34" s="9">
        <f>KPCo!$J$10/100</f>
        <v>7.0699999999999999E-2</v>
      </c>
      <c r="H34" s="9">
        <v>2.5000000000000001E-2</v>
      </c>
      <c r="I34" s="18">
        <v>30</v>
      </c>
      <c r="J34" s="2">
        <v>0.26</v>
      </c>
      <c r="K34" s="18" t="s">
        <v>8</v>
      </c>
      <c r="L34" s="3">
        <f>G34/(1-(1/(1+G34))^I34)*F34</f>
        <v>28540.501588843141</v>
      </c>
      <c r="M34" s="3">
        <f t="shared" si="2"/>
        <v>26122.442640000001</v>
      </c>
      <c r="N34" s="10">
        <f>'Wind Prices'!F34</f>
        <v>26122.442639999994</v>
      </c>
      <c r="O34" s="6">
        <f>M34-N34</f>
        <v>0</v>
      </c>
      <c r="P34" s="6">
        <f>O34/N34*100</f>
        <v>0</v>
      </c>
    </row>
    <row r="35" spans="1:16" x14ac:dyDescent="0.25">
      <c r="A35" s="27">
        <f t="shared" si="5"/>
        <v>2048</v>
      </c>
      <c r="B35" s="21">
        <f t="shared" si="6"/>
        <v>2049</v>
      </c>
      <c r="C35" s="66">
        <f>C34*'Wind Prices'!I35</f>
        <v>1768.3968915513249</v>
      </c>
      <c r="D35" s="18">
        <v>1</v>
      </c>
      <c r="E35" s="4">
        <f t="shared" si="7"/>
        <v>200</v>
      </c>
      <c r="F35" s="3">
        <f>E35*D35*C35</f>
        <v>353679.37831026496</v>
      </c>
      <c r="G35" s="9">
        <f>KPCo!$J$10/100</f>
        <v>7.0699999999999999E-2</v>
      </c>
      <c r="H35" s="9">
        <v>2.5000000000000001E-2</v>
      </c>
      <c r="I35" s="18">
        <v>30</v>
      </c>
      <c r="J35" s="2">
        <v>0.26</v>
      </c>
      <c r="K35" s="18" t="s">
        <v>8</v>
      </c>
      <c r="L35" s="3">
        <f>G35/(1-(1/(1+G35))^I35)*F35</f>
        <v>28702.431327060887</v>
      </c>
      <c r="M35" s="3">
        <f t="shared" si="2"/>
        <v>26270.653080000007</v>
      </c>
      <c r="N35" s="10">
        <f>'Wind Prices'!F35</f>
        <v>26270.65308</v>
      </c>
      <c r="O35" s="6">
        <f>M35-N35</f>
        <v>0</v>
      </c>
      <c r="P35" s="6">
        <f>O35/N35*100</f>
        <v>0</v>
      </c>
    </row>
    <row r="36" spans="1:16" x14ac:dyDescent="0.25">
      <c r="A36" s="27">
        <f t="shared" si="5"/>
        <v>2049</v>
      </c>
      <c r="B36" s="27">
        <f t="shared" si="6"/>
        <v>2050</v>
      </c>
      <c r="C36" s="66">
        <f>C35*'Wind Prices'!I36</f>
        <v>1779.5830330999115</v>
      </c>
      <c r="D36" s="18">
        <v>1</v>
      </c>
      <c r="E36" s="4">
        <f t="shared" si="7"/>
        <v>200</v>
      </c>
      <c r="F36" s="3">
        <f>E36*D36*C36</f>
        <v>355916.60661998228</v>
      </c>
      <c r="G36" s="9">
        <f>KPCo!$J$10/100</f>
        <v>7.0699999999999999E-2</v>
      </c>
      <c r="H36" s="9">
        <v>2.5000000000000001E-2</v>
      </c>
      <c r="I36" s="18">
        <v>30</v>
      </c>
      <c r="J36" s="2">
        <v>0.26</v>
      </c>
      <c r="K36" s="18" t="s">
        <v>8</v>
      </c>
      <c r="L36" s="3">
        <f>G36/(1-(1/(1+G36))^I36)*F36</f>
        <v>28883.990942522229</v>
      </c>
      <c r="M36" s="3">
        <f t="shared" si="2"/>
        <v>26436.830280000002</v>
      </c>
      <c r="N36" s="10">
        <f>'Wind Prices'!F36</f>
        <v>26436.830279999995</v>
      </c>
      <c r="O36" s="6">
        <f>M36-N36</f>
        <v>0</v>
      </c>
      <c r="P36" s="6">
        <f>O36/N36*100</f>
        <v>0</v>
      </c>
    </row>
    <row r="37" spans="1:16" x14ac:dyDescent="0.25">
      <c r="A37" s="27">
        <f t="shared" si="5"/>
        <v>2050</v>
      </c>
      <c r="B37" s="27">
        <f t="shared" si="6"/>
        <v>2051</v>
      </c>
      <c r="C37" s="66"/>
      <c r="E37" s="4"/>
      <c r="F37" s="3"/>
      <c r="G37" s="9"/>
      <c r="H37" s="9"/>
      <c r="J37" s="2"/>
      <c r="L37" s="3"/>
      <c r="M37" s="3"/>
      <c r="N37" s="10"/>
    </row>
    <row r="38" spans="1:16" x14ac:dyDescent="0.25">
      <c r="A38" s="27">
        <f t="shared" si="5"/>
        <v>2051</v>
      </c>
      <c r="C38" s="66"/>
      <c r="E38" s="4"/>
      <c r="F38" s="3"/>
      <c r="G38" s="9"/>
      <c r="H38" s="9"/>
      <c r="J38" s="2"/>
      <c r="L38" s="3"/>
      <c r="M38" s="3"/>
      <c r="N38" s="10"/>
    </row>
    <row r="39" spans="1:16" x14ac:dyDescent="0.25">
      <c r="A39" s="11" t="s">
        <v>33</v>
      </c>
      <c r="B39" s="11"/>
      <c r="F39" s="12">
        <f>(1-(1+G9)^-I9)/(G9)</f>
        <v>12.322279401355566</v>
      </c>
      <c r="H39" s="12"/>
      <c r="L39" s="13"/>
      <c r="M39" s="4"/>
    </row>
    <row r="40" spans="1:16" x14ac:dyDescent="0.25">
      <c r="A40" s="11" t="s">
        <v>34</v>
      </c>
      <c r="B40" s="11"/>
      <c r="F40" s="14">
        <f>(1-(1+G9+H9)^-I9)/(G9+H9)</f>
        <v>9.7758198439883</v>
      </c>
    </row>
    <row r="41" spans="1:16" x14ac:dyDescent="0.25">
      <c r="A41" s="11" t="s">
        <v>35</v>
      </c>
      <c r="B41" s="11"/>
      <c r="F41" s="18">
        <f>(1-J9*(F40/I9))/F39</f>
        <v>7.4278158951506912E-2</v>
      </c>
    </row>
  </sheetData>
  <mergeCells count="1">
    <mergeCell ref="C1:P1"/>
  </mergeCells>
  <pageMargins left="0.7" right="0.7" top="1" bottom="0.75" header="0.3" footer="0.3"/>
  <pageSetup scale="52" orientation="portrait" r:id="rId1"/>
  <headerFooter>
    <oddHeader>&amp;RKPSC Case No. 2021-00004
Sierra Club Second Set of Data Requests
Dated April 20, 2021
Item No. 6
Attachment1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workbookViewId="0">
      <selection activeCell="P10" sqref="P10"/>
    </sheetView>
  </sheetViews>
  <sheetFormatPr defaultRowHeight="15" x14ac:dyDescent="0.25"/>
  <cols>
    <col min="1" max="1" width="20.140625" bestFit="1" customWidth="1"/>
    <col min="3" max="3" width="12.5703125" customWidth="1"/>
    <col min="4" max="4" width="4" customWidth="1"/>
    <col min="5" max="5" width="10.85546875" bestFit="1" customWidth="1"/>
    <col min="9" max="9" width="9.7109375" bestFit="1" customWidth="1"/>
    <col min="10" max="10" width="9.7109375" customWidth="1"/>
    <col min="12" max="12" width="9.140625" style="45"/>
    <col min="14" max="14" width="9.140625" style="45"/>
  </cols>
  <sheetData>
    <row r="1" spans="1:20" x14ac:dyDescent="0.25">
      <c r="A1" s="68" t="s">
        <v>39</v>
      </c>
      <c r="B1" s="68"/>
      <c r="C1" s="68"/>
      <c r="D1" s="68"/>
      <c r="E1" s="68"/>
      <c r="F1" s="68"/>
    </row>
    <row r="2" spans="1:20" x14ac:dyDescent="0.25">
      <c r="A2" s="68" t="s">
        <v>36</v>
      </c>
      <c r="B2" s="68"/>
      <c r="C2" s="68"/>
      <c r="D2" s="68"/>
      <c r="E2" s="68"/>
      <c r="F2" s="68"/>
    </row>
    <row r="3" spans="1:20" x14ac:dyDescent="0.25">
      <c r="C3" s="58" t="s">
        <v>58</v>
      </c>
      <c r="J3" s="20"/>
    </row>
    <row r="4" spans="1:20" x14ac:dyDescent="0.25">
      <c r="B4" s="19"/>
      <c r="C4" s="19">
        <v>0.35</v>
      </c>
      <c r="J4" s="59"/>
      <c r="Q4" t="s">
        <v>64</v>
      </c>
    </row>
    <row r="5" spans="1:20" x14ac:dyDescent="0.25">
      <c r="B5" s="68" t="s">
        <v>5</v>
      </c>
      <c r="C5" s="68"/>
      <c r="E5" s="68" t="s">
        <v>5</v>
      </c>
      <c r="F5" s="68"/>
      <c r="L5" s="70"/>
      <c r="M5" s="23"/>
      <c r="N5" s="71"/>
      <c r="O5" s="23"/>
    </row>
    <row r="6" spans="1:20" ht="45" x14ac:dyDescent="0.25">
      <c r="B6" s="69" t="s">
        <v>65</v>
      </c>
      <c r="C6" s="69"/>
      <c r="E6" s="68" t="s">
        <v>4</v>
      </c>
      <c r="F6" s="68"/>
      <c r="K6" s="53"/>
      <c r="L6" s="71" t="s">
        <v>61</v>
      </c>
      <c r="M6" s="57"/>
      <c r="N6" s="54" t="s">
        <v>60</v>
      </c>
      <c r="O6" s="23" t="s">
        <v>42</v>
      </c>
      <c r="Q6" s="60" t="s">
        <v>62</v>
      </c>
      <c r="R6" s="60" t="s">
        <v>63</v>
      </c>
    </row>
    <row r="7" spans="1:20" x14ac:dyDescent="0.25">
      <c r="A7" s="57" t="s">
        <v>41</v>
      </c>
      <c r="B7" s="1"/>
      <c r="C7" s="1" t="s">
        <v>59</v>
      </c>
      <c r="E7" s="1"/>
      <c r="F7" s="1" t="s">
        <v>59</v>
      </c>
      <c r="K7" s="53"/>
      <c r="L7" s="54" t="s">
        <v>40</v>
      </c>
      <c r="M7" s="53"/>
      <c r="N7" s="54" t="s">
        <v>40</v>
      </c>
      <c r="O7" s="23"/>
      <c r="Q7" s="61">
        <v>0</v>
      </c>
      <c r="R7" s="61">
        <v>0</v>
      </c>
    </row>
    <row r="8" spans="1:20" ht="5.25" customHeight="1" x14ac:dyDescent="0.25">
      <c r="K8" s="53"/>
      <c r="L8" s="54"/>
      <c r="M8" s="53"/>
      <c r="N8" s="54"/>
      <c r="O8" s="23"/>
      <c r="Q8" s="61">
        <v>0</v>
      </c>
      <c r="R8" s="61">
        <v>0</v>
      </c>
    </row>
    <row r="9" spans="1:20" x14ac:dyDescent="0.25">
      <c r="A9">
        <v>2022</v>
      </c>
      <c r="B9" s="51"/>
      <c r="C9" s="52">
        <v>22.2163</v>
      </c>
      <c r="D9" s="45"/>
      <c r="E9" s="46"/>
      <c r="F9" s="46">
        <f t="shared" ref="F9:F35" si="0">C9*$C$44</f>
        <v>13623.035159999999</v>
      </c>
      <c r="G9" s="45"/>
      <c r="H9" s="47"/>
      <c r="I9" s="47"/>
      <c r="J9" s="45"/>
      <c r="K9" s="54"/>
      <c r="L9" s="72">
        <v>56.903799999999997</v>
      </c>
      <c r="M9" s="24"/>
      <c r="N9" s="24">
        <f t="shared" ref="N9:N38" si="1">L9/(1-0.26)</f>
        <v>76.897027027027022</v>
      </c>
      <c r="O9" s="73">
        <v>2023</v>
      </c>
      <c r="P9" s="16"/>
      <c r="Q9" s="61">
        <v>613.20620000040003</v>
      </c>
      <c r="R9" s="61">
        <v>11381.1999999987</v>
      </c>
      <c r="S9">
        <f>R9/200</f>
        <v>56.905999999993497</v>
      </c>
      <c r="T9" s="62">
        <f>S9-L9</f>
        <v>2.1999999935005121E-3</v>
      </c>
    </row>
    <row r="10" spans="1:20" x14ac:dyDescent="0.25">
      <c r="A10">
        <f t="shared" ref="A10:A30" si="2">A9+1</f>
        <v>2023</v>
      </c>
      <c r="B10" s="51"/>
      <c r="C10" s="52">
        <v>26.3644</v>
      </c>
      <c r="D10" s="45"/>
      <c r="E10" s="46"/>
      <c r="F10" s="46">
        <f t="shared" si="0"/>
        <v>16166.650079999998</v>
      </c>
      <c r="G10" s="45"/>
      <c r="H10" s="47"/>
      <c r="I10" s="47">
        <f t="shared" ref="I10:I35" si="3">C10/C9</f>
        <v>1.1867142593501168</v>
      </c>
      <c r="J10" s="45"/>
      <c r="K10" s="54"/>
      <c r="L10" s="72">
        <v>57.497999999999998</v>
      </c>
      <c r="M10" s="24"/>
      <c r="N10" s="24">
        <f t="shared" si="1"/>
        <v>77.7</v>
      </c>
      <c r="O10" s="73">
        <f>O9+1</f>
        <v>2024</v>
      </c>
      <c r="P10" s="16"/>
      <c r="Q10" s="61">
        <v>616.38520000061999</v>
      </c>
      <c r="R10" s="61">
        <v>11531.1057534256</v>
      </c>
      <c r="S10">
        <f t="shared" ref="S10:S36" si="4">R10/200</f>
        <v>57.655528767127997</v>
      </c>
      <c r="T10" s="62">
        <f t="shared" ref="T10:T36" si="5">S10-L10</f>
        <v>0.15752876712799946</v>
      </c>
    </row>
    <row r="11" spans="1:20" x14ac:dyDescent="0.25">
      <c r="A11">
        <f t="shared" si="2"/>
        <v>2024</v>
      </c>
      <c r="B11" s="51"/>
      <c r="C11" s="52">
        <v>21.495900000000002</v>
      </c>
      <c r="D11" s="45"/>
      <c r="E11" s="46"/>
      <c r="F11" s="46">
        <f t="shared" si="0"/>
        <v>13181.285879999999</v>
      </c>
      <c r="G11" s="45"/>
      <c r="H11" s="47"/>
      <c r="I11" s="47">
        <f t="shared" si="3"/>
        <v>0.81533810744792234</v>
      </c>
      <c r="J11" s="45"/>
      <c r="K11" s="54"/>
      <c r="L11" s="72">
        <v>58.3416</v>
      </c>
      <c r="M11" s="24"/>
      <c r="N11" s="24">
        <f t="shared" si="1"/>
        <v>78.84</v>
      </c>
      <c r="O11" s="73">
        <f t="shared" ref="O11:O38" si="6">O10+1</f>
        <v>2025</v>
      </c>
      <c r="P11" s="16"/>
      <c r="Q11" s="61">
        <v>613.20619999990004</v>
      </c>
      <c r="R11" s="61">
        <v>11668.3200000001</v>
      </c>
      <c r="S11">
        <f t="shared" si="4"/>
        <v>58.341600000000497</v>
      </c>
      <c r="T11" s="62">
        <f t="shared" si="5"/>
        <v>4.9737991503207013E-13</v>
      </c>
    </row>
    <row r="12" spans="1:20" x14ac:dyDescent="0.25">
      <c r="A12">
        <f t="shared" si="2"/>
        <v>2025</v>
      </c>
      <c r="B12" s="51"/>
      <c r="C12" s="52">
        <v>36.223399999999998</v>
      </c>
      <c r="D12" s="45"/>
      <c r="E12" s="46"/>
      <c r="F12" s="46">
        <f t="shared" si="0"/>
        <v>22212.188879999998</v>
      </c>
      <c r="G12" s="45"/>
      <c r="H12" s="47"/>
      <c r="I12" s="47">
        <f t="shared" si="3"/>
        <v>1.6851306528221659</v>
      </c>
      <c r="J12" s="45"/>
      <c r="K12" s="54"/>
      <c r="L12" s="72">
        <v>59.2455</v>
      </c>
      <c r="M12" s="24"/>
      <c r="N12" s="24">
        <f t="shared" si="1"/>
        <v>80.061486486486487</v>
      </c>
      <c r="O12" s="73">
        <f t="shared" si="6"/>
        <v>2026</v>
      </c>
      <c r="P12" s="16"/>
      <c r="Q12" s="61">
        <v>613.20619999974997</v>
      </c>
      <c r="R12" s="61">
        <v>11848.8800000012</v>
      </c>
      <c r="S12">
        <f t="shared" si="4"/>
        <v>59.244400000005996</v>
      </c>
      <c r="T12" s="62">
        <f t="shared" si="5"/>
        <v>-1.0999999940040084E-3</v>
      </c>
    </row>
    <row r="13" spans="1:20" x14ac:dyDescent="0.25">
      <c r="A13">
        <f t="shared" si="2"/>
        <v>2026</v>
      </c>
      <c r="B13" s="51"/>
      <c r="C13" s="52">
        <v>36.660600000000002</v>
      </c>
      <c r="D13" s="45"/>
      <c r="E13" s="46"/>
      <c r="F13" s="46">
        <f t="shared" si="0"/>
        <v>22480.279919999997</v>
      </c>
      <c r="G13" s="45"/>
      <c r="H13" s="47"/>
      <c r="I13" s="47">
        <f t="shared" si="3"/>
        <v>1.0120695462049394</v>
      </c>
      <c r="J13" s="45"/>
      <c r="K13" s="54"/>
      <c r="L13" s="72">
        <v>60.255000000000003</v>
      </c>
      <c r="M13" s="24"/>
      <c r="N13" s="24">
        <f t="shared" si="1"/>
        <v>81.425675675675677</v>
      </c>
      <c r="O13" s="73">
        <f t="shared" si="6"/>
        <v>2027</v>
      </c>
      <c r="P13" s="16"/>
      <c r="Q13" s="61">
        <v>613.20619999996995</v>
      </c>
      <c r="R13" s="61">
        <v>12051.639999999399</v>
      </c>
      <c r="S13">
        <f t="shared" si="4"/>
        <v>60.258199999996997</v>
      </c>
      <c r="T13" s="62">
        <f t="shared" si="5"/>
        <v>3.1999999969940518E-3</v>
      </c>
    </row>
    <row r="14" spans="1:20" x14ac:dyDescent="0.25">
      <c r="A14">
        <f t="shared" si="2"/>
        <v>2027</v>
      </c>
      <c r="B14" s="51"/>
      <c r="C14" s="52">
        <v>37.054599999999994</v>
      </c>
      <c r="D14" s="45"/>
      <c r="E14" s="46"/>
      <c r="F14" s="46">
        <f t="shared" si="0"/>
        <v>22721.880719999994</v>
      </c>
      <c r="G14" s="45"/>
      <c r="H14" s="47"/>
      <c r="I14" s="47">
        <f t="shared" si="3"/>
        <v>1.0107472327239595</v>
      </c>
      <c r="J14" s="45"/>
      <c r="K14" s="54"/>
      <c r="L14" s="72">
        <v>61.2547</v>
      </c>
      <c r="M14" s="24"/>
      <c r="N14" s="24">
        <f t="shared" si="1"/>
        <v>82.776621621621629</v>
      </c>
      <c r="O14" s="73">
        <f t="shared" si="6"/>
        <v>2028</v>
      </c>
      <c r="P14" s="16"/>
      <c r="Q14" s="61">
        <v>616.38519999976995</v>
      </c>
      <c r="R14" s="61">
        <v>12285.005589042599</v>
      </c>
      <c r="S14">
        <f t="shared" si="4"/>
        <v>61.425027945212996</v>
      </c>
      <c r="T14" s="62">
        <f t="shared" si="5"/>
        <v>0.17032794521299621</v>
      </c>
    </row>
    <row r="15" spans="1:20" x14ac:dyDescent="0.25">
      <c r="A15">
        <f t="shared" si="2"/>
        <v>2028</v>
      </c>
      <c r="B15" s="51"/>
      <c r="C15" s="52">
        <v>37.528399999999998</v>
      </c>
      <c r="D15" s="45"/>
      <c r="E15" s="46"/>
      <c r="F15" s="46">
        <f t="shared" si="0"/>
        <v>23012.414879999997</v>
      </c>
      <c r="G15" s="45"/>
      <c r="H15" s="47"/>
      <c r="I15" s="47">
        <f t="shared" si="3"/>
        <v>1.0127865366243329</v>
      </c>
      <c r="J15" s="45"/>
      <c r="K15" s="54"/>
      <c r="L15" s="72">
        <v>62.291800000000002</v>
      </c>
      <c r="M15" s="24"/>
      <c r="N15" s="24">
        <f t="shared" si="1"/>
        <v>84.178108108108106</v>
      </c>
      <c r="O15" s="73">
        <f t="shared" si="6"/>
        <v>2029</v>
      </c>
      <c r="P15" s="16"/>
      <c r="Q15" s="61">
        <v>613.20620000054998</v>
      </c>
      <c r="R15" s="61">
        <v>12458.639999999001</v>
      </c>
      <c r="S15">
        <f t="shared" si="4"/>
        <v>62.293199999995004</v>
      </c>
      <c r="T15" s="62">
        <f t="shared" si="5"/>
        <v>1.3999999950016218E-3</v>
      </c>
    </row>
    <row r="16" spans="1:20" x14ac:dyDescent="0.25">
      <c r="A16">
        <f t="shared" si="2"/>
        <v>2029</v>
      </c>
      <c r="B16" s="51"/>
      <c r="C16" s="52">
        <v>37.966999999999999</v>
      </c>
      <c r="D16" s="45"/>
      <c r="E16" s="46"/>
      <c r="F16" s="46">
        <f t="shared" si="0"/>
        <v>23281.364399999995</v>
      </c>
      <c r="G16" s="45"/>
      <c r="H16" s="47"/>
      <c r="I16" s="47">
        <f t="shared" si="3"/>
        <v>1.0116871489325419</v>
      </c>
      <c r="J16" s="45"/>
      <c r="K16" s="54"/>
      <c r="L16" s="72">
        <v>63.322299999999998</v>
      </c>
      <c r="M16" s="24"/>
      <c r="N16" s="24">
        <f t="shared" si="1"/>
        <v>85.570675675675673</v>
      </c>
      <c r="O16" s="73">
        <f t="shared" si="6"/>
        <v>2030</v>
      </c>
      <c r="P16" s="16"/>
      <c r="Q16" s="61">
        <v>613.20619999986104</v>
      </c>
      <c r="R16" s="61">
        <v>12664.360000000501</v>
      </c>
      <c r="S16">
        <f t="shared" si="4"/>
        <v>63.321800000002504</v>
      </c>
      <c r="T16" s="62">
        <f t="shared" si="5"/>
        <v>-4.9999999749417157E-4</v>
      </c>
    </row>
    <row r="17" spans="1:20" x14ac:dyDescent="0.25">
      <c r="A17">
        <f t="shared" si="2"/>
        <v>2030</v>
      </c>
      <c r="B17" s="51"/>
      <c r="C17" s="52">
        <v>38.3827</v>
      </c>
      <c r="D17" s="45"/>
      <c r="E17" s="46"/>
      <c r="F17" s="46">
        <f t="shared" si="0"/>
        <v>23536.271639999999</v>
      </c>
      <c r="G17" s="45"/>
      <c r="H17" s="47"/>
      <c r="I17" s="47">
        <f t="shared" si="3"/>
        <v>1.0109489820106936</v>
      </c>
      <c r="J17" s="45"/>
      <c r="K17" s="54"/>
      <c r="L17" s="72">
        <v>64.345100000000002</v>
      </c>
      <c r="M17" s="24"/>
      <c r="N17" s="24">
        <f t="shared" si="1"/>
        <v>86.952837837837848</v>
      </c>
      <c r="O17" s="73">
        <f t="shared" si="6"/>
        <v>2031</v>
      </c>
      <c r="P17" s="16"/>
      <c r="Q17" s="61">
        <v>613.20620000033</v>
      </c>
      <c r="R17" s="61">
        <v>12868.5999999985</v>
      </c>
      <c r="S17">
        <f t="shared" si="4"/>
        <v>64.3429999999925</v>
      </c>
      <c r="T17" s="62">
        <f t="shared" si="5"/>
        <v>-2.1000000075019898E-3</v>
      </c>
    </row>
    <row r="18" spans="1:20" x14ac:dyDescent="0.25">
      <c r="A18">
        <f t="shared" si="2"/>
        <v>2031</v>
      </c>
      <c r="B18" s="50"/>
      <c r="C18" s="52">
        <v>38.718800000000002</v>
      </c>
      <c r="D18" s="45"/>
      <c r="E18" s="46"/>
      <c r="F18" s="46">
        <f t="shared" si="0"/>
        <v>23742.368159999998</v>
      </c>
      <c r="G18" s="45"/>
      <c r="H18" s="47"/>
      <c r="I18" s="47">
        <f t="shared" si="3"/>
        <v>1.0087565491744979</v>
      </c>
      <c r="J18" s="45"/>
      <c r="K18" s="54"/>
      <c r="L18" s="72">
        <v>65.336500000000001</v>
      </c>
      <c r="M18" s="24"/>
      <c r="N18" s="24">
        <f t="shared" si="1"/>
        <v>88.292567567567573</v>
      </c>
      <c r="O18" s="73">
        <f t="shared" si="6"/>
        <v>2032</v>
      </c>
      <c r="P18" s="16"/>
      <c r="Q18" s="61">
        <v>616.38520000020003</v>
      </c>
      <c r="R18" s="61">
        <v>13102.719780822799</v>
      </c>
      <c r="S18">
        <f t="shared" si="4"/>
        <v>65.513598904113991</v>
      </c>
      <c r="T18" s="62">
        <f t="shared" si="5"/>
        <v>0.17709890411398987</v>
      </c>
    </row>
    <row r="19" spans="1:20" x14ac:dyDescent="0.25">
      <c r="A19">
        <f t="shared" si="2"/>
        <v>2032</v>
      </c>
      <c r="B19" s="49"/>
      <c r="C19" s="48">
        <v>39.018500000000003</v>
      </c>
      <c r="D19" s="45"/>
      <c r="E19" s="46"/>
      <c r="F19" s="46">
        <f t="shared" si="0"/>
        <v>23926.144199999999</v>
      </c>
      <c r="G19" s="45"/>
      <c r="H19" s="47"/>
      <c r="I19" s="47">
        <f t="shared" si="3"/>
        <v>1.0077404258396438</v>
      </c>
      <c r="J19" s="45"/>
      <c r="K19" s="54"/>
      <c r="L19" s="72">
        <v>66.308700000000002</v>
      </c>
      <c r="M19" s="24"/>
      <c r="N19" s="24">
        <f t="shared" si="1"/>
        <v>89.60635135135135</v>
      </c>
      <c r="O19" s="73">
        <f t="shared" si="6"/>
        <v>2033</v>
      </c>
      <c r="P19" s="16"/>
      <c r="Q19" s="61">
        <v>613.20620000062002</v>
      </c>
      <c r="R19" s="61">
        <v>13262.28</v>
      </c>
      <c r="S19">
        <f t="shared" si="4"/>
        <v>66.311400000000006</v>
      </c>
      <c r="T19" s="62">
        <f t="shared" si="5"/>
        <v>2.7000000000043656E-3</v>
      </c>
    </row>
    <row r="20" spans="1:20" x14ac:dyDescent="0.25">
      <c r="A20">
        <f t="shared" si="2"/>
        <v>2033</v>
      </c>
      <c r="B20" s="49"/>
      <c r="C20" s="48">
        <v>39.269200000000005</v>
      </c>
      <c r="D20" s="45"/>
      <c r="E20" s="46"/>
      <c r="F20" s="46">
        <f t="shared" si="0"/>
        <v>24079.873439999999</v>
      </c>
      <c r="G20" s="45"/>
      <c r="H20" s="47"/>
      <c r="I20" s="47">
        <f t="shared" si="3"/>
        <v>1.0064251572971796</v>
      </c>
      <c r="J20" s="45"/>
      <c r="K20" s="54"/>
      <c r="L20" s="72">
        <v>67.273200000000003</v>
      </c>
      <c r="M20" s="24"/>
      <c r="N20" s="24">
        <f t="shared" si="1"/>
        <v>90.909729729729733</v>
      </c>
      <c r="O20" s="73">
        <f t="shared" si="6"/>
        <v>2034</v>
      </c>
      <c r="P20" s="16"/>
      <c r="Q20" s="61">
        <v>613.20619999949997</v>
      </c>
      <c r="R20" s="61">
        <v>13454.6799999995</v>
      </c>
      <c r="S20">
        <f t="shared" si="4"/>
        <v>67.273399999997494</v>
      </c>
      <c r="T20" s="62">
        <f t="shared" si="5"/>
        <v>1.9999999749131803E-4</v>
      </c>
    </row>
    <row r="21" spans="1:20" x14ac:dyDescent="0.25">
      <c r="A21">
        <f t="shared" si="2"/>
        <v>2034</v>
      </c>
      <c r="B21" s="49"/>
      <c r="C21" s="48">
        <v>39.495899999999999</v>
      </c>
      <c r="D21" s="45"/>
      <c r="E21" s="46"/>
      <c r="F21" s="46">
        <f t="shared" si="0"/>
        <v>24218.885879999998</v>
      </c>
      <c r="G21" s="45"/>
      <c r="H21" s="47"/>
      <c r="I21" s="47">
        <f t="shared" si="3"/>
        <v>1.0057729722021329</v>
      </c>
      <c r="J21" s="45"/>
      <c r="K21" s="54"/>
      <c r="L21" s="72">
        <v>68.236500000000007</v>
      </c>
      <c r="M21" s="24"/>
      <c r="N21" s="24">
        <f t="shared" si="1"/>
        <v>92.211486486486493</v>
      </c>
      <c r="O21" s="73">
        <f t="shared" si="6"/>
        <v>2035</v>
      </c>
      <c r="P21" s="16"/>
      <c r="Q21" s="61">
        <v>613.20620000033</v>
      </c>
      <c r="R21" s="61">
        <v>13647.0799999991</v>
      </c>
      <c r="S21">
        <f t="shared" si="4"/>
        <v>68.235399999995494</v>
      </c>
      <c r="T21" s="62">
        <f t="shared" si="5"/>
        <v>-1.1000000045129354E-3</v>
      </c>
    </row>
    <row r="22" spans="1:20" x14ac:dyDescent="0.25">
      <c r="A22">
        <f t="shared" si="2"/>
        <v>2035</v>
      </c>
      <c r="B22" s="49"/>
      <c r="C22" s="48">
        <v>39.697199999999995</v>
      </c>
      <c r="D22" s="45"/>
      <c r="E22" s="46"/>
      <c r="F22" s="46">
        <f t="shared" si="0"/>
        <v>24342.323039999996</v>
      </c>
      <c r="G22" s="45"/>
      <c r="H22" s="47"/>
      <c r="I22" s="47">
        <f t="shared" si="3"/>
        <v>1.0050967315594783</v>
      </c>
      <c r="J22" s="45"/>
      <c r="K22" s="54"/>
      <c r="L22" s="72">
        <v>69.202299999999994</v>
      </c>
      <c r="M22" s="24"/>
      <c r="N22" s="24">
        <f t="shared" si="1"/>
        <v>93.51662162162161</v>
      </c>
      <c r="O22" s="73">
        <f t="shared" si="6"/>
        <v>2036</v>
      </c>
      <c r="P22" s="16"/>
      <c r="Q22" s="61">
        <v>616.38519999969003</v>
      </c>
      <c r="R22" s="61">
        <v>13878.880438354399</v>
      </c>
      <c r="S22">
        <f t="shared" si="4"/>
        <v>69.394402191772002</v>
      </c>
      <c r="T22" s="62">
        <f t="shared" si="5"/>
        <v>0.19210219177200827</v>
      </c>
    </row>
    <row r="23" spans="1:20" x14ac:dyDescent="0.25">
      <c r="A23">
        <f t="shared" si="2"/>
        <v>2036</v>
      </c>
      <c r="B23" s="49"/>
      <c r="C23" s="48">
        <v>39.919499999999999</v>
      </c>
      <c r="D23" s="45"/>
      <c r="E23" s="46"/>
      <c r="F23" s="46">
        <f t="shared" si="0"/>
        <v>24478.637399999996</v>
      </c>
      <c r="G23" s="45"/>
      <c r="H23" s="47"/>
      <c r="I23" s="47">
        <f t="shared" si="3"/>
        <v>1.0055998911762041</v>
      </c>
      <c r="J23" s="45"/>
      <c r="K23" s="54"/>
      <c r="L23" s="72">
        <v>70.183999999999997</v>
      </c>
      <c r="M23" s="24"/>
      <c r="N23" s="24">
        <f t="shared" si="1"/>
        <v>94.843243243243236</v>
      </c>
      <c r="O23" s="73">
        <f t="shared" si="6"/>
        <v>2037</v>
      </c>
      <c r="P23" s="16"/>
      <c r="Q23" s="61">
        <v>613.20619999986002</v>
      </c>
      <c r="R23" s="61">
        <v>14036.3200000012</v>
      </c>
      <c r="S23">
        <f t="shared" si="4"/>
        <v>70.181600000006</v>
      </c>
      <c r="T23" s="62">
        <f t="shared" si="5"/>
        <v>-2.3999999939974259E-3</v>
      </c>
    </row>
    <row r="24" spans="1:20" x14ac:dyDescent="0.25">
      <c r="A24">
        <f t="shared" si="2"/>
        <v>2037</v>
      </c>
      <c r="B24" s="49"/>
      <c r="C24" s="48">
        <v>40.099399999999996</v>
      </c>
      <c r="D24" s="45"/>
      <c r="E24" s="46"/>
      <c r="F24" s="46">
        <f t="shared" si="0"/>
        <v>24588.952079999995</v>
      </c>
      <c r="G24" s="45"/>
      <c r="H24" s="47"/>
      <c r="I24" s="47">
        <f t="shared" si="3"/>
        <v>1.0045065694710604</v>
      </c>
      <c r="J24" s="45"/>
      <c r="K24" s="54"/>
      <c r="L24" s="72">
        <v>71.165999999999997</v>
      </c>
      <c r="M24" s="24"/>
      <c r="N24" s="24">
        <f t="shared" si="1"/>
        <v>96.170270270270265</v>
      </c>
      <c r="O24" s="73">
        <f t="shared" si="6"/>
        <v>2038</v>
      </c>
      <c r="P24" s="16"/>
      <c r="Q24" s="61">
        <v>613.20620000021995</v>
      </c>
      <c r="R24" s="61">
        <v>14233.1600000001</v>
      </c>
      <c r="S24">
        <f t="shared" si="4"/>
        <v>71.165800000000502</v>
      </c>
      <c r="T24" s="62">
        <f t="shared" si="5"/>
        <v>-1.9999999949504854E-4</v>
      </c>
    </row>
    <row r="25" spans="1:20" x14ac:dyDescent="0.25">
      <c r="A25">
        <f t="shared" si="2"/>
        <v>2038</v>
      </c>
      <c r="B25" s="49"/>
      <c r="C25" s="48">
        <v>40.259300000000003</v>
      </c>
      <c r="D25" s="45"/>
      <c r="E25" s="46"/>
      <c r="F25" s="46">
        <f t="shared" si="0"/>
        <v>24687.002759999999</v>
      </c>
      <c r="G25" s="45"/>
      <c r="H25" s="47"/>
      <c r="I25" s="47">
        <f t="shared" si="3"/>
        <v>1.0039875908367708</v>
      </c>
      <c r="J25" s="45"/>
      <c r="K25" s="54"/>
      <c r="L25" s="72">
        <v>72.152699999999996</v>
      </c>
      <c r="M25" s="24"/>
      <c r="N25" s="24">
        <f t="shared" si="1"/>
        <v>97.50364864864865</v>
      </c>
      <c r="O25" s="73">
        <f t="shared" si="6"/>
        <v>2039</v>
      </c>
      <c r="P25" s="16"/>
      <c r="Q25" s="61">
        <v>613.20620000024996</v>
      </c>
      <c r="R25" s="61">
        <v>14429.9999999991</v>
      </c>
      <c r="S25">
        <f t="shared" si="4"/>
        <v>72.149999999995501</v>
      </c>
      <c r="T25" s="62">
        <f t="shared" si="5"/>
        <v>-2.7000000044949957E-3</v>
      </c>
    </row>
    <row r="26" spans="1:20" x14ac:dyDescent="0.25">
      <c r="A26">
        <f t="shared" si="2"/>
        <v>2039</v>
      </c>
      <c r="B26" s="49"/>
      <c r="C26" s="48">
        <v>40.469999999999992</v>
      </c>
      <c r="D26" s="45"/>
      <c r="E26" s="46"/>
      <c r="F26" s="46">
        <f t="shared" si="0"/>
        <v>24816.203999999991</v>
      </c>
      <c r="G26" s="45"/>
      <c r="H26" s="47"/>
      <c r="I26" s="47">
        <f t="shared" si="3"/>
        <v>1.005233573360689</v>
      </c>
      <c r="J26" s="45"/>
      <c r="K26" s="54"/>
      <c r="L26" s="72">
        <v>73.178299999999993</v>
      </c>
      <c r="M26" s="24"/>
      <c r="N26" s="24">
        <f t="shared" si="1"/>
        <v>98.889594594594584</v>
      </c>
      <c r="O26" s="73">
        <f t="shared" si="6"/>
        <v>2040</v>
      </c>
      <c r="P26" s="16"/>
      <c r="Q26" s="61">
        <v>616.38520000032099</v>
      </c>
      <c r="R26" s="61">
        <v>14675.817863014099</v>
      </c>
      <c r="S26">
        <f t="shared" si="4"/>
        <v>73.379089315070502</v>
      </c>
      <c r="T26" s="62">
        <f t="shared" si="5"/>
        <v>0.20078931507050868</v>
      </c>
    </row>
    <row r="27" spans="1:20" x14ac:dyDescent="0.25">
      <c r="A27">
        <f t="shared" si="2"/>
        <v>2040</v>
      </c>
      <c r="B27" s="49"/>
      <c r="C27" s="48">
        <v>40.7179</v>
      </c>
      <c r="D27" s="45"/>
      <c r="E27" s="46"/>
      <c r="F27" s="46">
        <f t="shared" si="0"/>
        <v>24968.216279999997</v>
      </c>
      <c r="G27" s="45"/>
      <c r="H27" s="47"/>
      <c r="I27" s="47">
        <f t="shared" si="3"/>
        <v>1.0061255250803065</v>
      </c>
      <c r="J27" s="45"/>
      <c r="K27" s="54"/>
      <c r="L27" s="72">
        <v>74.222499999999997</v>
      </c>
      <c r="M27" s="24"/>
      <c r="N27" s="24">
        <f t="shared" si="1"/>
        <v>100.30067567567568</v>
      </c>
      <c r="O27" s="73">
        <f t="shared" si="6"/>
        <v>2041</v>
      </c>
      <c r="P27" s="16"/>
      <c r="Q27" s="61">
        <v>613.206199999771</v>
      </c>
      <c r="R27" s="61">
        <v>14844.4000000014</v>
      </c>
      <c r="S27">
        <f t="shared" si="4"/>
        <v>74.222000000007</v>
      </c>
      <c r="T27" s="62">
        <f t="shared" si="5"/>
        <v>-4.9999999299643605E-4</v>
      </c>
    </row>
    <row r="28" spans="1:20" x14ac:dyDescent="0.25">
      <c r="A28">
        <f t="shared" si="2"/>
        <v>2041</v>
      </c>
      <c r="B28" s="49"/>
      <c r="C28" s="48">
        <v>40.9497</v>
      </c>
      <c r="D28" s="45"/>
      <c r="E28" s="46"/>
      <c r="F28" s="46">
        <f t="shared" si="0"/>
        <v>25110.356039999999</v>
      </c>
      <c r="G28" s="45"/>
      <c r="H28" s="47"/>
      <c r="I28" s="47">
        <f t="shared" si="3"/>
        <v>1.0056928279700084</v>
      </c>
      <c r="J28" s="45"/>
      <c r="K28" s="54"/>
      <c r="L28" s="72">
        <v>75.274000000000001</v>
      </c>
      <c r="M28" s="24"/>
      <c r="N28" s="24">
        <f t="shared" si="1"/>
        <v>101.72162162162162</v>
      </c>
      <c r="O28" s="73">
        <f t="shared" si="6"/>
        <v>2042</v>
      </c>
      <c r="P28" s="16"/>
      <c r="Q28" s="61">
        <v>613.20620000011104</v>
      </c>
      <c r="R28" s="61">
        <v>15054.559999998701</v>
      </c>
      <c r="S28">
        <f t="shared" si="4"/>
        <v>75.272799999993509</v>
      </c>
      <c r="T28" s="62">
        <f t="shared" si="5"/>
        <v>-1.2000000064915639E-3</v>
      </c>
    </row>
    <row r="29" spans="1:20" x14ac:dyDescent="0.25">
      <c r="A29">
        <f t="shared" si="2"/>
        <v>2042</v>
      </c>
      <c r="B29" s="49"/>
      <c r="C29" s="48">
        <v>41.209799999999994</v>
      </c>
      <c r="D29" s="45"/>
      <c r="E29" s="46"/>
      <c r="F29" s="46">
        <f t="shared" si="0"/>
        <v>25269.849359999993</v>
      </c>
      <c r="G29" s="45"/>
      <c r="H29" s="47"/>
      <c r="I29" s="47">
        <f t="shared" si="3"/>
        <v>1.0063516948842115</v>
      </c>
      <c r="J29" s="45"/>
      <c r="K29" s="54"/>
      <c r="L29" s="72">
        <v>76.346500000000006</v>
      </c>
      <c r="M29" s="24"/>
      <c r="N29" s="24">
        <f t="shared" si="1"/>
        <v>103.17094594594596</v>
      </c>
      <c r="O29" s="73">
        <f t="shared" si="6"/>
        <v>2043</v>
      </c>
      <c r="P29" s="16"/>
      <c r="Q29" s="61">
        <v>613.20620000024098</v>
      </c>
      <c r="R29" s="61">
        <v>15269.159999998899</v>
      </c>
      <c r="S29">
        <f t="shared" si="4"/>
        <v>76.345799999994497</v>
      </c>
      <c r="T29" s="62">
        <f t="shared" si="5"/>
        <v>-7.0000000550862751E-4</v>
      </c>
    </row>
    <row r="30" spans="1:20" x14ac:dyDescent="0.25">
      <c r="A30">
        <f t="shared" si="2"/>
        <v>2043</v>
      </c>
      <c r="B30" s="49"/>
      <c r="C30" s="48">
        <v>41.519899999999993</v>
      </c>
      <c r="D30" s="45"/>
      <c r="E30" s="46"/>
      <c r="F30" s="46">
        <f t="shared" si="0"/>
        <v>25460.002679999994</v>
      </c>
      <c r="G30" s="45"/>
      <c r="H30" s="47"/>
      <c r="I30" s="47">
        <f t="shared" si="3"/>
        <v>1.0075249091235579</v>
      </c>
      <c r="J30" s="45"/>
      <c r="K30" s="54"/>
      <c r="L30" s="72">
        <v>77.45</v>
      </c>
      <c r="M30" s="24"/>
      <c r="N30" s="24">
        <f t="shared" si="1"/>
        <v>104.66216216216216</v>
      </c>
      <c r="O30" s="73">
        <f t="shared" si="6"/>
        <v>2044</v>
      </c>
      <c r="P30" s="16"/>
      <c r="Q30" s="61">
        <v>616.38519999999005</v>
      </c>
      <c r="R30" s="61">
        <v>15532.1174794503</v>
      </c>
      <c r="S30">
        <f t="shared" si="4"/>
        <v>77.660587397251504</v>
      </c>
      <c r="T30" s="62">
        <f t="shared" si="5"/>
        <v>0.21058739725150133</v>
      </c>
    </row>
    <row r="31" spans="1:20" x14ac:dyDescent="0.25">
      <c r="A31">
        <f>A30+1</f>
        <v>2044</v>
      </c>
      <c r="B31" s="49"/>
      <c r="C31" s="48">
        <v>41.794199999999996</v>
      </c>
      <c r="D31" s="45"/>
      <c r="E31" s="46"/>
      <c r="F31" s="46">
        <f t="shared" si="0"/>
        <v>25628.203439999994</v>
      </c>
      <c r="G31" s="45"/>
      <c r="H31" s="47"/>
      <c r="I31" s="47">
        <f t="shared" si="3"/>
        <v>1.0066064706321547</v>
      </c>
      <c r="J31" s="45"/>
      <c r="K31" s="54"/>
      <c r="L31" s="72">
        <v>78.533699999999996</v>
      </c>
      <c r="M31" s="24"/>
      <c r="N31" s="24">
        <f t="shared" si="1"/>
        <v>106.12662162162162</v>
      </c>
      <c r="O31" s="73">
        <f t="shared" si="6"/>
        <v>2045</v>
      </c>
      <c r="P31" s="16"/>
      <c r="Q31" s="61">
        <v>613.20619999943995</v>
      </c>
      <c r="R31" s="61">
        <v>15707.240000001801</v>
      </c>
      <c r="S31">
        <f t="shared" si="4"/>
        <v>78.536200000009003</v>
      </c>
      <c r="T31" s="62">
        <f t="shared" si="5"/>
        <v>2.5000000090074082E-3</v>
      </c>
    </row>
    <row r="32" spans="1:20" x14ac:dyDescent="0.25">
      <c r="A32">
        <f>A31+1</f>
        <v>2045</v>
      </c>
      <c r="B32" s="49"/>
      <c r="C32" s="48">
        <v>42.0732</v>
      </c>
      <c r="D32" s="45"/>
      <c r="E32" s="46"/>
      <c r="F32" s="46">
        <f t="shared" si="0"/>
        <v>25799.286239999998</v>
      </c>
      <c r="G32" s="45"/>
      <c r="H32" s="47"/>
      <c r="I32" s="47">
        <f t="shared" si="3"/>
        <v>1.0066755674232311</v>
      </c>
      <c r="J32" s="45"/>
      <c r="K32" s="54"/>
      <c r="L32" s="72">
        <v>79.632099999999994</v>
      </c>
      <c r="M32" s="24"/>
      <c r="N32" s="24">
        <f t="shared" si="1"/>
        <v>107.61094594594594</v>
      </c>
      <c r="O32" s="73">
        <f t="shared" si="6"/>
        <v>2046</v>
      </c>
      <c r="P32" s="16"/>
      <c r="Q32" s="61">
        <v>613.20619999968005</v>
      </c>
      <c r="R32" s="61">
        <v>15926.280000001199</v>
      </c>
      <c r="S32">
        <f t="shared" si="4"/>
        <v>79.631400000005996</v>
      </c>
      <c r="T32" s="62">
        <f t="shared" si="5"/>
        <v>-6.9999999399783519E-4</v>
      </c>
    </row>
    <row r="33" spans="1:20" x14ac:dyDescent="0.25">
      <c r="A33">
        <f>A32+1</f>
        <v>2046</v>
      </c>
      <c r="B33" s="49"/>
      <c r="C33" s="48">
        <v>42.338300000000004</v>
      </c>
      <c r="D33" s="45"/>
      <c r="E33" s="46"/>
      <c r="F33" s="46">
        <f t="shared" si="0"/>
        <v>25961.845559999998</v>
      </c>
      <c r="G33" s="45"/>
      <c r="H33" s="47"/>
      <c r="I33" s="47">
        <f t="shared" si="3"/>
        <v>1.0063009231529811</v>
      </c>
      <c r="J33" s="45"/>
      <c r="K33" s="54"/>
      <c r="L33" s="72">
        <v>80.728899999999996</v>
      </c>
      <c r="M33" s="24"/>
      <c r="N33" s="24">
        <f t="shared" si="1"/>
        <v>109.0931081081081</v>
      </c>
      <c r="O33" s="73">
        <f t="shared" si="6"/>
        <v>2047</v>
      </c>
      <c r="P33" s="16"/>
      <c r="Q33" s="61">
        <v>613.20619999996097</v>
      </c>
      <c r="R33" s="61">
        <v>16145.3200000009</v>
      </c>
      <c r="S33">
        <f t="shared" si="4"/>
        <v>80.726600000004495</v>
      </c>
      <c r="T33" s="62">
        <f t="shared" si="5"/>
        <v>-2.2999999955004569E-3</v>
      </c>
    </row>
    <row r="34" spans="1:20" x14ac:dyDescent="0.25">
      <c r="A34">
        <f>A33+1</f>
        <v>2047</v>
      </c>
      <c r="B34" s="49"/>
      <c r="C34" s="48">
        <v>42.600199999999994</v>
      </c>
      <c r="D34" s="45"/>
      <c r="E34" s="46"/>
      <c r="F34" s="46">
        <f t="shared" si="0"/>
        <v>26122.442639999994</v>
      </c>
      <c r="G34" s="45"/>
      <c r="H34" s="47"/>
      <c r="I34" s="47">
        <f t="shared" si="3"/>
        <v>1.006185888427263</v>
      </c>
      <c r="J34" s="45"/>
      <c r="K34" s="54"/>
      <c r="L34" s="72">
        <v>81.829400000000007</v>
      </c>
      <c r="M34" s="24"/>
      <c r="N34" s="24">
        <f t="shared" si="1"/>
        <v>110.58027027027028</v>
      </c>
      <c r="O34" s="73">
        <f t="shared" si="6"/>
        <v>2048</v>
      </c>
      <c r="P34" s="16"/>
      <c r="Q34" s="61">
        <v>616.38520000025005</v>
      </c>
      <c r="R34" s="61">
        <v>16410.6779178084</v>
      </c>
      <c r="S34">
        <f t="shared" si="4"/>
        <v>82.053389589041998</v>
      </c>
      <c r="T34" s="62">
        <f t="shared" si="5"/>
        <v>0.22398958904199162</v>
      </c>
    </row>
    <row r="35" spans="1:20" x14ac:dyDescent="0.25">
      <c r="A35">
        <f>A34+1</f>
        <v>2048</v>
      </c>
      <c r="B35" s="4"/>
      <c r="C35" s="44">
        <v>42.841900000000003</v>
      </c>
      <c r="E35" s="6"/>
      <c r="F35" s="6">
        <f t="shared" si="0"/>
        <v>26270.65308</v>
      </c>
      <c r="H35" s="16"/>
      <c r="I35" s="16">
        <f t="shared" si="3"/>
        <v>1.005673682283182</v>
      </c>
      <c r="K35" s="53"/>
      <c r="L35" s="72">
        <v>82.915000000000006</v>
      </c>
      <c r="M35" s="24"/>
      <c r="N35" s="24">
        <f t="shared" si="1"/>
        <v>112.04729729729731</v>
      </c>
      <c r="O35" s="73">
        <f t="shared" si="6"/>
        <v>2049</v>
      </c>
      <c r="P35" s="16"/>
      <c r="Q35" s="61">
        <v>613.20620000009001</v>
      </c>
      <c r="R35" s="61">
        <v>16583.400000000001</v>
      </c>
      <c r="S35">
        <f t="shared" si="4"/>
        <v>82.917000000000002</v>
      </c>
      <c r="T35" s="62">
        <f t="shared" si="5"/>
        <v>1.9999999999953388E-3</v>
      </c>
    </row>
    <row r="36" spans="1:20" x14ac:dyDescent="0.25">
      <c r="A36">
        <f t="shared" ref="A36:A38" si="7">A35+1</f>
        <v>2049</v>
      </c>
      <c r="B36" s="4"/>
      <c r="C36" s="44">
        <v>43.112899999999996</v>
      </c>
      <c r="E36" s="6"/>
      <c r="F36" s="6">
        <f t="shared" ref="F36:F38" si="8">C36*$C$44</f>
        <v>26436.830279999995</v>
      </c>
      <c r="H36" s="16"/>
      <c r="I36" s="16">
        <f t="shared" ref="I36:I38" si="9">C36/C35</f>
        <v>1.0063255831324005</v>
      </c>
      <c r="K36" s="53"/>
      <c r="L36" s="72">
        <v>84.0244</v>
      </c>
      <c r="M36" s="24"/>
      <c r="N36" s="24">
        <f t="shared" si="1"/>
        <v>113.54648648648649</v>
      </c>
      <c r="O36" s="73">
        <f t="shared" si="6"/>
        <v>2050</v>
      </c>
      <c r="P36" s="16"/>
      <c r="Q36" s="61">
        <v>613.20620000019005</v>
      </c>
      <c r="R36" s="61">
        <v>16805.399999999299</v>
      </c>
      <c r="S36">
        <f t="shared" si="4"/>
        <v>84.026999999996491</v>
      </c>
      <c r="T36" s="62">
        <f t="shared" si="5"/>
        <v>2.5999999964909648E-3</v>
      </c>
    </row>
    <row r="37" spans="1:20" x14ac:dyDescent="0.25">
      <c r="A37">
        <f t="shared" si="7"/>
        <v>2050</v>
      </c>
      <c r="B37" s="4"/>
      <c r="C37" s="44">
        <v>43.350499999999997</v>
      </c>
      <c r="E37" s="6"/>
      <c r="F37" s="6">
        <f t="shared" si="8"/>
        <v>26582.526599999994</v>
      </c>
      <c r="H37" s="16"/>
      <c r="I37" s="16">
        <f t="shared" si="9"/>
        <v>1.0055111115234652</v>
      </c>
      <c r="K37" s="53"/>
      <c r="L37" s="72">
        <v>85.122</v>
      </c>
      <c r="M37" s="24"/>
      <c r="N37" s="24">
        <f t="shared" si="1"/>
        <v>115.02972972972974</v>
      </c>
      <c r="O37" s="73">
        <f t="shared" si="6"/>
        <v>2051</v>
      </c>
      <c r="P37" s="16"/>
    </row>
    <row r="38" spans="1:20" x14ac:dyDescent="0.25">
      <c r="A38">
        <f t="shared" si="7"/>
        <v>2051</v>
      </c>
      <c r="B38" s="4"/>
      <c r="C38" s="44">
        <v>43.570099999999996</v>
      </c>
      <c r="E38" s="6"/>
      <c r="F38" s="6">
        <f t="shared" si="8"/>
        <v>26717.185319999993</v>
      </c>
      <c r="H38" s="16"/>
      <c r="I38" s="16">
        <f t="shared" si="9"/>
        <v>1.0050656855168913</v>
      </c>
      <c r="K38" s="53"/>
      <c r="L38" s="72">
        <v>86.216899999999995</v>
      </c>
      <c r="M38" s="24"/>
      <c r="N38" s="24">
        <f t="shared" si="1"/>
        <v>116.50932432432433</v>
      </c>
      <c r="O38" s="73">
        <f t="shared" si="6"/>
        <v>2052</v>
      </c>
      <c r="P38" s="16"/>
    </row>
    <row r="39" spans="1:20" x14ac:dyDescent="0.25">
      <c r="B39" s="4"/>
      <c r="C39" s="4"/>
      <c r="E39" s="6"/>
      <c r="F39" s="6"/>
      <c r="H39" s="16"/>
      <c r="I39" s="16"/>
      <c r="K39" s="23"/>
      <c r="L39" s="63"/>
      <c r="M39" s="24"/>
      <c r="N39" s="24"/>
      <c r="O39" s="73"/>
      <c r="P39" s="22"/>
    </row>
    <row r="40" spans="1:20" x14ac:dyDescent="0.25">
      <c r="B40" s="4"/>
      <c r="C40" s="4"/>
      <c r="E40" s="6"/>
      <c r="F40" s="6"/>
      <c r="O40" s="26"/>
    </row>
    <row r="41" spans="1:20" x14ac:dyDescent="0.25">
      <c r="O41" s="26">
        <v>2023</v>
      </c>
    </row>
    <row r="42" spans="1:20" x14ac:dyDescent="0.25">
      <c r="B42" s="68" t="s">
        <v>6</v>
      </c>
      <c r="C42" s="68"/>
    </row>
    <row r="43" spans="1:20" x14ac:dyDescent="0.25">
      <c r="B43" s="1"/>
      <c r="C43" s="1"/>
    </row>
    <row r="44" spans="1:20" x14ac:dyDescent="0.25">
      <c r="A44" t="s">
        <v>0</v>
      </c>
      <c r="B44" s="1"/>
      <c r="C44" s="17">
        <f>C45*C46/100*8.76</f>
        <v>613.19999999999993</v>
      </c>
    </row>
    <row r="45" spans="1:20" x14ac:dyDescent="0.25">
      <c r="A45" t="s">
        <v>1</v>
      </c>
      <c r="B45" s="1"/>
      <c r="C45" s="1">
        <v>200</v>
      </c>
    </row>
    <row r="46" spans="1:20" x14ac:dyDescent="0.25">
      <c r="A46" t="s">
        <v>2</v>
      </c>
      <c r="B46" s="3"/>
      <c r="C46" s="3">
        <v>35</v>
      </c>
    </row>
    <row r="47" spans="1:20" x14ac:dyDescent="0.25">
      <c r="A47" t="s">
        <v>3</v>
      </c>
      <c r="B47" s="15"/>
      <c r="C47" s="15">
        <v>0.01</v>
      </c>
      <c r="D47" s="2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3"/>
      <c r="C53" s="3"/>
    </row>
    <row r="54" spans="2:3" x14ac:dyDescent="0.25">
      <c r="C54" s="5"/>
    </row>
  </sheetData>
  <mergeCells count="7">
    <mergeCell ref="B42:C42"/>
    <mergeCell ref="A1:F1"/>
    <mergeCell ref="A2:F2"/>
    <mergeCell ref="B6:C6"/>
    <mergeCell ref="E6:F6"/>
    <mergeCell ref="B5:C5"/>
    <mergeCell ref="E5:F5"/>
  </mergeCells>
  <pageMargins left="0.7" right="0.7" top="1" bottom="0.75" header="0.3" footer="0.3"/>
  <pageSetup scale="46" orientation="portrait" r:id="rId1"/>
  <headerFooter>
    <oddHeader>&amp;RKPSC Case No. 2021-00004
Sierra Club Second Set of Data Requests
Dated April 20, 2021
Item No. 6
Attachment1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P10" sqref="P10"/>
    </sheetView>
  </sheetViews>
  <sheetFormatPr defaultRowHeight="12.75" x14ac:dyDescent="0.2"/>
  <cols>
    <col min="1" max="1" width="74.42578125" style="28" bestFit="1" customWidth="1"/>
    <col min="2" max="2" width="9.28515625" style="28" customWidth="1"/>
    <col min="3" max="3" width="8.42578125" style="28" customWidth="1"/>
    <col min="4" max="4" width="7.5703125" style="28" customWidth="1"/>
    <col min="5" max="5" width="8.140625" style="28" customWidth="1"/>
    <col min="6" max="8" width="7.5703125" style="28" customWidth="1"/>
    <col min="9" max="9" width="9.42578125" style="28" customWidth="1"/>
    <col min="10" max="10" width="9" style="28" customWidth="1"/>
    <col min="11" max="11" width="9.42578125" style="28" customWidth="1"/>
    <col min="12" max="13" width="9" style="28" customWidth="1"/>
    <col min="14" max="16384" width="9.140625" style="28"/>
  </cols>
  <sheetData>
    <row r="1" spans="1:13" x14ac:dyDescent="0.2">
      <c r="G1" s="29" t="s">
        <v>44</v>
      </c>
    </row>
    <row r="2" spans="1:13" x14ac:dyDescent="0.2">
      <c r="G2" s="29" t="s">
        <v>45</v>
      </c>
    </row>
    <row r="3" spans="1:13" x14ac:dyDescent="0.2">
      <c r="G3" s="29" t="s">
        <v>46</v>
      </c>
    </row>
    <row r="4" spans="1:13" x14ac:dyDescent="0.2">
      <c r="F4" s="30"/>
      <c r="G4" s="29" t="s">
        <v>47</v>
      </c>
      <c r="I4" s="31"/>
    </row>
    <row r="7" spans="1:13" x14ac:dyDescent="0.2">
      <c r="B7" s="32"/>
      <c r="C7" s="32"/>
      <c r="D7" s="32"/>
      <c r="E7" s="32"/>
      <c r="F7" s="32"/>
      <c r="G7" s="33" t="s">
        <v>48</v>
      </c>
      <c r="H7" s="32"/>
      <c r="I7" s="32"/>
      <c r="J7" s="32"/>
      <c r="K7" s="32"/>
      <c r="L7" s="32"/>
      <c r="M7" s="32"/>
    </row>
    <row r="8" spans="1:13" x14ac:dyDescent="0.2">
      <c r="A8" s="34"/>
    </row>
    <row r="9" spans="1:13" x14ac:dyDescent="0.2">
      <c r="B9" s="35">
        <v>2</v>
      </c>
      <c r="C9" s="35">
        <v>3</v>
      </c>
      <c r="D9" s="35">
        <v>4</v>
      </c>
      <c r="E9" s="35">
        <v>5</v>
      </c>
      <c r="F9" s="35">
        <v>10</v>
      </c>
      <c r="G9" s="35">
        <v>15</v>
      </c>
      <c r="H9" s="35">
        <v>20</v>
      </c>
      <c r="I9" s="35">
        <v>25</v>
      </c>
      <c r="J9" s="35">
        <v>30</v>
      </c>
      <c r="K9" s="35">
        <v>33</v>
      </c>
      <c r="L9" s="35">
        <v>40</v>
      </c>
      <c r="M9" s="35">
        <v>50</v>
      </c>
    </row>
    <row r="10" spans="1:13" x14ac:dyDescent="0.2">
      <c r="A10" s="28" t="s">
        <v>49</v>
      </c>
      <c r="B10" s="36">
        <v>7.07</v>
      </c>
      <c r="C10" s="36">
        <v>7.07</v>
      </c>
      <c r="D10" s="36">
        <v>7.07</v>
      </c>
      <c r="E10" s="36">
        <v>7.07</v>
      </c>
      <c r="F10" s="36">
        <v>7.07</v>
      </c>
      <c r="G10" s="36">
        <v>7.07</v>
      </c>
      <c r="H10" s="36">
        <v>7.07</v>
      </c>
      <c r="I10" s="36">
        <v>7.07</v>
      </c>
      <c r="J10" s="36">
        <v>7.07</v>
      </c>
      <c r="K10" s="36">
        <v>7.07</v>
      </c>
      <c r="L10" s="36">
        <v>7.07</v>
      </c>
      <c r="M10" s="36">
        <v>7.07</v>
      </c>
    </row>
    <row r="11" spans="1:13" x14ac:dyDescent="0.2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x14ac:dyDescent="0.2">
      <c r="A12" s="28" t="s">
        <v>50</v>
      </c>
      <c r="B12" s="36">
        <v>49.039482235713457</v>
      </c>
      <c r="C12" s="36">
        <v>31.908141054678456</v>
      </c>
      <c r="D12" s="36">
        <v>23.324663926645481</v>
      </c>
      <c r="E12" s="36">
        <v>18.187745976942836</v>
      </c>
      <c r="F12" s="36">
        <v>8.0362103286162423</v>
      </c>
      <c r="G12" s="36">
        <v>4.7782465769760494</v>
      </c>
      <c r="H12" s="36">
        <v>3.2293467736443549</v>
      </c>
      <c r="I12" s="36">
        <v>2.3532647259040691</v>
      </c>
      <c r="J12" s="36">
        <v>1.8055275731288327</v>
      </c>
      <c r="K12" s="36">
        <v>1.5697392096074316</v>
      </c>
      <c r="L12" s="36">
        <v>1.1825906281929848</v>
      </c>
      <c r="M12" s="36">
        <v>0.8545166647474508</v>
      </c>
    </row>
    <row r="13" spans="1:13" x14ac:dyDescent="0.2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x14ac:dyDescent="0.2">
      <c r="A14" s="28" t="s">
        <v>51</v>
      </c>
      <c r="B14" s="36">
        <v>1.0647021352740726</v>
      </c>
      <c r="C14" s="36">
        <v>0.76612131492009583</v>
      </c>
      <c r="D14" s="36">
        <v>0.81870460509426957</v>
      </c>
      <c r="E14" s="36">
        <v>0.68097195696057944</v>
      </c>
      <c r="F14" s="36">
        <v>0.64282223007694195</v>
      </c>
      <c r="G14" s="36">
        <v>0.77427207546116505</v>
      </c>
      <c r="H14" s="36">
        <v>0.8012730997429226</v>
      </c>
      <c r="I14" s="36">
        <v>0.69334215098117669</v>
      </c>
      <c r="J14" s="36">
        <v>0.62299342901216659</v>
      </c>
      <c r="K14" s="36">
        <v>0.59159943191406017</v>
      </c>
      <c r="L14" s="36">
        <v>0.53778620547173417</v>
      </c>
      <c r="M14" s="36">
        <v>0.4886813004491169</v>
      </c>
    </row>
    <row r="15" spans="1:13" x14ac:dyDescent="0.2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2.75" customHeight="1" x14ac:dyDescent="0.2">
      <c r="A16" s="37" t="s">
        <v>52</v>
      </c>
      <c r="B16" s="38">
        <v>1.45</v>
      </c>
      <c r="C16" s="38">
        <v>1.45</v>
      </c>
      <c r="D16" s="38">
        <v>1.45</v>
      </c>
      <c r="E16" s="38">
        <v>1.45</v>
      </c>
      <c r="F16" s="38">
        <v>1.45</v>
      </c>
      <c r="G16" s="38">
        <v>1.45</v>
      </c>
      <c r="H16" s="38">
        <v>1.45</v>
      </c>
      <c r="I16" s="38">
        <v>1.45</v>
      </c>
      <c r="J16" s="38">
        <v>1.45</v>
      </c>
      <c r="K16" s="38">
        <v>1.45</v>
      </c>
      <c r="L16" s="38">
        <v>1.45</v>
      </c>
      <c r="M16" s="38">
        <v>1.45</v>
      </c>
    </row>
    <row r="17" spans="1:13" x14ac:dyDescent="0.2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x14ac:dyDescent="0.2">
      <c r="A18" s="28" t="s">
        <v>53</v>
      </c>
      <c r="B18" s="36">
        <f>SUM(B10:B16)</f>
        <v>58.624184370987535</v>
      </c>
      <c r="C18" s="36">
        <f t="shared" ref="C18:L18" si="0">SUM(C10:C16)</f>
        <v>41.194262369598562</v>
      </c>
      <c r="D18" s="36">
        <f>SUM(D10:D16)</f>
        <v>32.663368531739749</v>
      </c>
      <c r="E18" s="36">
        <f t="shared" si="0"/>
        <v>27.388717933903415</v>
      </c>
      <c r="F18" s="36">
        <f t="shared" si="0"/>
        <v>17.199032558693183</v>
      </c>
      <c r="G18" s="36">
        <f t="shared" si="0"/>
        <v>14.072518652437212</v>
      </c>
      <c r="H18" s="36">
        <f t="shared" si="0"/>
        <v>12.550619873387278</v>
      </c>
      <c r="I18" s="36">
        <f t="shared" si="0"/>
        <v>11.566606876885245</v>
      </c>
      <c r="J18" s="36">
        <f t="shared" si="0"/>
        <v>10.948521002141</v>
      </c>
      <c r="K18" s="36">
        <f t="shared" si="0"/>
        <v>10.681338641521492</v>
      </c>
      <c r="L18" s="36">
        <f t="shared" si="0"/>
        <v>10.240376833664719</v>
      </c>
      <c r="M18" s="36">
        <f>SUM(M10:M16)</f>
        <v>9.8631979651965676</v>
      </c>
    </row>
    <row r="20" spans="1:13" x14ac:dyDescent="0.2">
      <c r="J20" s="39"/>
    </row>
    <row r="21" spans="1:13" ht="15" x14ac:dyDescent="0.25">
      <c r="A21" s="40" t="s">
        <v>54</v>
      </c>
      <c r="B21" s="41"/>
      <c r="F21" s="42"/>
      <c r="H21" s="41"/>
      <c r="J21" s="39"/>
    </row>
    <row r="22" spans="1:13" x14ac:dyDescent="0.2">
      <c r="A22" s="39"/>
      <c r="J22" s="39"/>
    </row>
    <row r="23" spans="1:13" x14ac:dyDescent="0.2">
      <c r="A23" s="40" t="s">
        <v>55</v>
      </c>
      <c r="J23" s="39"/>
    </row>
    <row r="24" spans="1:13" ht="15" x14ac:dyDescent="0.25">
      <c r="A24" s="39"/>
      <c r="B24" s="41"/>
      <c r="J24" s="39"/>
    </row>
    <row r="25" spans="1:13" x14ac:dyDescent="0.2">
      <c r="A25" s="39" t="s">
        <v>56</v>
      </c>
      <c r="B25" s="39"/>
      <c r="C25" s="39"/>
      <c r="D25" s="39"/>
      <c r="E25" s="39"/>
      <c r="J25" s="39"/>
    </row>
    <row r="26" spans="1:13" x14ac:dyDescent="0.2">
      <c r="J26" s="39"/>
    </row>
    <row r="27" spans="1:13" x14ac:dyDescent="0.2">
      <c r="A27" s="43" t="s">
        <v>57</v>
      </c>
    </row>
  </sheetData>
  <pageMargins left="0.7" right="0.7" top="1" bottom="0.75" header="0.3" footer="0.3"/>
  <pageSetup scale="51" orientation="portrait" r:id="rId1"/>
  <headerFooter>
    <oddHeader>&amp;RKPSC Case No. 2021-00004
Sierra Club Second Set of Data Requests
Dated April 20, 2021
Item No. 6
Attachment1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P10" sqref="P10"/>
    </sheetView>
  </sheetViews>
  <sheetFormatPr defaultRowHeight="15" x14ac:dyDescent="0.25"/>
  <cols>
    <col min="1" max="1" width="20.28515625" bestFit="1" customWidth="1"/>
  </cols>
  <sheetData>
    <row r="1" spans="1:10" ht="51" customHeight="1" x14ac:dyDescent="0.25"/>
    <row r="2" spans="1:10" ht="72" customHeight="1" x14ac:dyDescent="0.25">
      <c r="A2" s="74" t="s">
        <v>66</v>
      </c>
      <c r="B2" s="74" t="s">
        <v>67</v>
      </c>
      <c r="C2" s="74" t="s">
        <v>68</v>
      </c>
      <c r="D2" s="74" t="s">
        <v>69</v>
      </c>
      <c r="E2" s="74" t="s">
        <v>70</v>
      </c>
      <c r="F2" s="74" t="s">
        <v>71</v>
      </c>
      <c r="G2" s="74" t="s">
        <v>72</v>
      </c>
      <c r="H2" s="74" t="s">
        <v>73</v>
      </c>
      <c r="I2" s="74" t="s">
        <v>74</v>
      </c>
      <c r="J2" s="74" t="s">
        <v>75</v>
      </c>
    </row>
    <row r="3" spans="1:10" x14ac:dyDescent="0.25">
      <c r="A3" s="75" t="s">
        <v>76</v>
      </c>
      <c r="B3" s="76" t="s">
        <v>77</v>
      </c>
      <c r="C3" s="77">
        <v>2022</v>
      </c>
      <c r="D3" s="78">
        <v>0.35</v>
      </c>
      <c r="E3" s="79">
        <v>1328.9292</v>
      </c>
      <c r="F3" s="80">
        <v>0.6</v>
      </c>
      <c r="G3" s="81">
        <v>56.903799999999997</v>
      </c>
      <c r="H3" s="81">
        <v>18.5442</v>
      </c>
      <c r="I3" s="81">
        <v>40.7605</v>
      </c>
      <c r="J3" s="44">
        <f t="shared" ref="J3:J32" si="0">I3-H3</f>
        <v>22.2163</v>
      </c>
    </row>
    <row r="4" spans="1:10" x14ac:dyDescent="0.25">
      <c r="A4" s="75" t="s">
        <v>78</v>
      </c>
      <c r="B4" s="76" t="s">
        <v>77</v>
      </c>
      <c r="C4" s="77">
        <v>2023</v>
      </c>
      <c r="D4" s="78">
        <v>0.35</v>
      </c>
      <c r="E4" s="79">
        <v>1316.4076</v>
      </c>
      <c r="F4" s="80">
        <v>0.4</v>
      </c>
      <c r="G4" s="81">
        <v>57.497999999999998</v>
      </c>
      <c r="H4" s="81">
        <v>18.735800000000001</v>
      </c>
      <c r="I4" s="81">
        <v>45.100200000000001</v>
      </c>
      <c r="J4" s="44">
        <f t="shared" si="0"/>
        <v>26.3644</v>
      </c>
    </row>
    <row r="5" spans="1:10" x14ac:dyDescent="0.25">
      <c r="A5" s="75" t="s">
        <v>79</v>
      </c>
      <c r="B5" s="76" t="s">
        <v>77</v>
      </c>
      <c r="C5" s="77">
        <v>2024</v>
      </c>
      <c r="D5" s="78">
        <v>0.35</v>
      </c>
      <c r="E5" s="79">
        <v>1321.6658</v>
      </c>
      <c r="F5" s="80">
        <v>0.6</v>
      </c>
      <c r="G5" s="81">
        <v>58.3416</v>
      </c>
      <c r="H5" s="81">
        <v>19.014399999999998</v>
      </c>
      <c r="I5" s="81">
        <v>40.510300000000001</v>
      </c>
      <c r="J5" s="44">
        <f t="shared" si="0"/>
        <v>21.495900000000002</v>
      </c>
    </row>
    <row r="6" spans="1:10" x14ac:dyDescent="0.25">
      <c r="A6" s="75" t="s">
        <v>80</v>
      </c>
      <c r="B6" s="76" t="s">
        <v>77</v>
      </c>
      <c r="C6" s="77">
        <v>2025</v>
      </c>
      <c r="D6" s="78">
        <v>0.35</v>
      </c>
      <c r="E6" s="79">
        <v>1330.6486</v>
      </c>
      <c r="F6" s="80">
        <v>0</v>
      </c>
      <c r="G6" s="81">
        <v>59.2455</v>
      </c>
      <c r="H6" s="81">
        <v>19.308199999999999</v>
      </c>
      <c r="I6" s="81">
        <v>55.531599999999997</v>
      </c>
      <c r="J6" s="44">
        <f t="shared" si="0"/>
        <v>36.223399999999998</v>
      </c>
    </row>
    <row r="7" spans="1:10" x14ac:dyDescent="0.25">
      <c r="A7" s="75" t="s">
        <v>81</v>
      </c>
      <c r="B7" s="76" t="s">
        <v>77</v>
      </c>
      <c r="C7" s="77">
        <v>2026</v>
      </c>
      <c r="D7" s="78">
        <v>0.35</v>
      </c>
      <c r="E7" s="79">
        <v>1346.8071</v>
      </c>
      <c r="F7" s="80">
        <v>0</v>
      </c>
      <c r="G7" s="81">
        <v>60.255000000000003</v>
      </c>
      <c r="H7" s="81">
        <v>19.636299999999999</v>
      </c>
      <c r="I7" s="81">
        <v>56.296900000000001</v>
      </c>
      <c r="J7" s="44">
        <f t="shared" si="0"/>
        <v>36.660600000000002</v>
      </c>
    </row>
    <row r="8" spans="1:10" x14ac:dyDescent="0.25">
      <c r="A8" s="75" t="s">
        <v>82</v>
      </c>
      <c r="B8" s="76" t="s">
        <v>77</v>
      </c>
      <c r="C8" s="77">
        <v>2027</v>
      </c>
      <c r="D8" s="78">
        <v>0.35</v>
      </c>
      <c r="E8" s="79">
        <v>1361.4949999999999</v>
      </c>
      <c r="F8" s="80">
        <v>0</v>
      </c>
      <c r="G8" s="81">
        <v>61.2547</v>
      </c>
      <c r="H8" s="81">
        <v>19.959900000000001</v>
      </c>
      <c r="I8" s="81">
        <v>57.014499999999998</v>
      </c>
      <c r="J8" s="44">
        <f t="shared" si="0"/>
        <v>37.054599999999994</v>
      </c>
    </row>
    <row r="9" spans="1:10" x14ac:dyDescent="0.25">
      <c r="A9" s="75" t="s">
        <v>83</v>
      </c>
      <c r="B9" s="76" t="s">
        <v>77</v>
      </c>
      <c r="C9" s="77">
        <v>2028</v>
      </c>
      <c r="D9" s="78">
        <v>0.35</v>
      </c>
      <c r="E9" s="79">
        <v>1378.5278000000001</v>
      </c>
      <c r="F9" s="80">
        <v>0</v>
      </c>
      <c r="G9" s="81">
        <v>62.291800000000002</v>
      </c>
      <c r="H9" s="81">
        <v>20.3018</v>
      </c>
      <c r="I9" s="81">
        <v>57.830199999999998</v>
      </c>
      <c r="J9" s="44">
        <f t="shared" si="0"/>
        <v>37.528399999999998</v>
      </c>
    </row>
    <row r="10" spans="1:10" x14ac:dyDescent="0.25">
      <c r="A10" s="75" t="s">
        <v>84</v>
      </c>
      <c r="B10" s="76" t="s">
        <v>77</v>
      </c>
      <c r="C10" s="77">
        <v>2029</v>
      </c>
      <c r="D10" s="78">
        <v>0.35</v>
      </c>
      <c r="E10" s="79">
        <v>1394.7465</v>
      </c>
      <c r="F10" s="80">
        <v>0</v>
      </c>
      <c r="G10" s="81">
        <v>63.322299999999998</v>
      </c>
      <c r="H10" s="81">
        <v>20.636800000000001</v>
      </c>
      <c r="I10" s="81">
        <v>58.6038</v>
      </c>
      <c r="J10" s="44">
        <f t="shared" si="0"/>
        <v>37.966999999999999</v>
      </c>
    </row>
    <row r="11" spans="1:10" x14ac:dyDescent="0.25">
      <c r="A11" s="75" t="s">
        <v>85</v>
      </c>
      <c r="B11" s="76" t="s">
        <v>77</v>
      </c>
      <c r="C11" s="77">
        <v>2030</v>
      </c>
      <c r="D11" s="78">
        <v>0.35</v>
      </c>
      <c r="E11" s="79">
        <v>1410.1223</v>
      </c>
      <c r="F11" s="80">
        <v>0</v>
      </c>
      <c r="G11" s="81">
        <v>64.345100000000002</v>
      </c>
      <c r="H11" s="81">
        <v>20.969200000000001</v>
      </c>
      <c r="I11" s="81">
        <v>59.351900000000001</v>
      </c>
      <c r="J11" s="44">
        <f t="shared" si="0"/>
        <v>38.3827</v>
      </c>
    </row>
    <row r="12" spans="1:10" x14ac:dyDescent="0.25">
      <c r="A12" s="75" t="s">
        <v>86</v>
      </c>
      <c r="B12" s="76" t="s">
        <v>77</v>
      </c>
      <c r="C12" s="77">
        <v>2031</v>
      </c>
      <c r="D12" s="78">
        <v>0.35</v>
      </c>
      <c r="E12" s="79">
        <v>1422.7</v>
      </c>
      <c r="F12" s="80">
        <v>0</v>
      </c>
      <c r="G12" s="81">
        <v>65.336500000000001</v>
      </c>
      <c r="H12" s="81">
        <v>21.29</v>
      </c>
      <c r="I12" s="81">
        <v>60.008800000000001</v>
      </c>
      <c r="J12" s="44">
        <f t="shared" si="0"/>
        <v>38.718800000000002</v>
      </c>
    </row>
    <row r="13" spans="1:10" x14ac:dyDescent="0.25">
      <c r="A13" s="75" t="s">
        <v>87</v>
      </c>
      <c r="B13" s="76" t="s">
        <v>77</v>
      </c>
      <c r="C13" s="77">
        <v>2032</v>
      </c>
      <c r="D13" s="78">
        <v>0.35</v>
      </c>
      <c r="E13" s="79">
        <v>1433.3286000000001</v>
      </c>
      <c r="F13" s="80">
        <v>0</v>
      </c>
      <c r="G13" s="81">
        <v>66.308700000000002</v>
      </c>
      <c r="H13" s="81">
        <v>21.611000000000001</v>
      </c>
      <c r="I13" s="81">
        <v>60.6295</v>
      </c>
      <c r="J13" s="44">
        <f t="shared" si="0"/>
        <v>39.018500000000003</v>
      </c>
    </row>
    <row r="14" spans="1:10" x14ac:dyDescent="0.25">
      <c r="A14" s="75" t="s">
        <v>88</v>
      </c>
      <c r="B14" s="76" t="s">
        <v>77</v>
      </c>
      <c r="C14" s="77">
        <v>2033</v>
      </c>
      <c r="D14" s="78">
        <v>0.35</v>
      </c>
      <c r="E14" s="79">
        <v>1442.663</v>
      </c>
      <c r="F14" s="80">
        <v>0</v>
      </c>
      <c r="G14" s="81">
        <v>67.273200000000003</v>
      </c>
      <c r="H14" s="81">
        <v>21.924399999999999</v>
      </c>
      <c r="I14" s="81">
        <v>61.193600000000004</v>
      </c>
      <c r="J14" s="44">
        <f t="shared" si="0"/>
        <v>39.269200000000005</v>
      </c>
    </row>
    <row r="15" spans="1:10" x14ac:dyDescent="0.25">
      <c r="A15" s="75" t="s">
        <v>89</v>
      </c>
      <c r="B15" s="76" t="s">
        <v>77</v>
      </c>
      <c r="C15" s="77">
        <v>2034</v>
      </c>
      <c r="D15" s="78">
        <v>0.35</v>
      </c>
      <c r="E15" s="79">
        <v>1451.1113</v>
      </c>
      <c r="F15" s="80">
        <v>0</v>
      </c>
      <c r="G15" s="81">
        <v>68.236500000000007</v>
      </c>
      <c r="H15" s="81">
        <v>22.237400000000001</v>
      </c>
      <c r="I15" s="81">
        <v>61.7333</v>
      </c>
      <c r="J15" s="44">
        <f t="shared" si="0"/>
        <v>39.495899999999999</v>
      </c>
    </row>
    <row r="16" spans="1:10" x14ac:dyDescent="0.25">
      <c r="A16" s="75" t="s">
        <v>90</v>
      </c>
      <c r="B16" s="76" t="s">
        <v>77</v>
      </c>
      <c r="C16" s="77">
        <v>2035</v>
      </c>
      <c r="D16" s="78">
        <v>0.35</v>
      </c>
      <c r="E16" s="79">
        <v>1458.7485999999999</v>
      </c>
      <c r="F16" s="80">
        <v>0</v>
      </c>
      <c r="G16" s="81">
        <v>69.202299999999994</v>
      </c>
      <c r="H16" s="81">
        <v>22.549700000000001</v>
      </c>
      <c r="I16" s="81">
        <v>62.246899999999997</v>
      </c>
      <c r="J16" s="44">
        <f t="shared" si="0"/>
        <v>39.697199999999995</v>
      </c>
    </row>
    <row r="17" spans="1:10" x14ac:dyDescent="0.25">
      <c r="A17" s="75" t="s">
        <v>91</v>
      </c>
      <c r="B17" s="76" t="s">
        <v>77</v>
      </c>
      <c r="C17" s="77">
        <v>2036</v>
      </c>
      <c r="D17" s="78">
        <v>0.35</v>
      </c>
      <c r="E17" s="79">
        <v>1466.5326</v>
      </c>
      <c r="F17" s="80">
        <v>0</v>
      </c>
      <c r="G17" s="81">
        <v>70.183999999999997</v>
      </c>
      <c r="H17" s="81">
        <v>22.873999999999999</v>
      </c>
      <c r="I17" s="81">
        <v>62.793500000000002</v>
      </c>
      <c r="J17" s="44">
        <f t="shared" si="0"/>
        <v>39.919499999999999</v>
      </c>
    </row>
    <row r="18" spans="1:10" x14ac:dyDescent="0.25">
      <c r="A18" s="75" t="s">
        <v>92</v>
      </c>
      <c r="B18" s="76" t="s">
        <v>77</v>
      </c>
      <c r="C18" s="77">
        <v>2037</v>
      </c>
      <c r="D18" s="78">
        <v>0.35</v>
      </c>
      <c r="E18" s="79">
        <v>1473.2719</v>
      </c>
      <c r="F18" s="80">
        <v>0</v>
      </c>
      <c r="G18" s="81">
        <v>71.165999999999997</v>
      </c>
      <c r="H18" s="81">
        <v>23.193100000000001</v>
      </c>
      <c r="I18" s="81">
        <v>63.292499999999997</v>
      </c>
      <c r="J18" s="44">
        <f t="shared" si="0"/>
        <v>40.099399999999996</v>
      </c>
    </row>
    <row r="19" spans="1:10" x14ac:dyDescent="0.25">
      <c r="A19" s="75" t="s">
        <v>93</v>
      </c>
      <c r="B19" s="76" t="s">
        <v>77</v>
      </c>
      <c r="C19" s="77">
        <v>2038</v>
      </c>
      <c r="D19" s="78">
        <v>0.35</v>
      </c>
      <c r="E19" s="79">
        <v>1479.2755999999999</v>
      </c>
      <c r="F19" s="80">
        <v>0</v>
      </c>
      <c r="G19" s="81">
        <v>72.152699999999996</v>
      </c>
      <c r="H19" s="81">
        <v>23.5137</v>
      </c>
      <c r="I19" s="81">
        <v>63.773000000000003</v>
      </c>
      <c r="J19" s="44">
        <f t="shared" si="0"/>
        <v>40.259300000000003</v>
      </c>
    </row>
    <row r="20" spans="1:10" x14ac:dyDescent="0.25">
      <c r="A20" s="75" t="s">
        <v>94</v>
      </c>
      <c r="B20" s="76" t="s">
        <v>77</v>
      </c>
      <c r="C20" s="77">
        <v>2039</v>
      </c>
      <c r="D20" s="78">
        <v>0.35</v>
      </c>
      <c r="E20" s="79">
        <v>1487.2616</v>
      </c>
      <c r="F20" s="80">
        <v>0</v>
      </c>
      <c r="G20" s="81">
        <v>73.178299999999993</v>
      </c>
      <c r="H20" s="81">
        <v>23.845300000000002</v>
      </c>
      <c r="I20" s="81">
        <v>64.315299999999993</v>
      </c>
      <c r="J20" s="44">
        <f t="shared" si="0"/>
        <v>40.469999999999992</v>
      </c>
    </row>
    <row r="21" spans="1:10" x14ac:dyDescent="0.25">
      <c r="A21" s="75" t="s">
        <v>95</v>
      </c>
      <c r="B21" s="76" t="s">
        <v>77</v>
      </c>
      <c r="C21" s="77">
        <v>2040</v>
      </c>
      <c r="D21" s="78">
        <v>0.35</v>
      </c>
      <c r="E21" s="79">
        <v>1495.9774</v>
      </c>
      <c r="F21" s="80">
        <v>0</v>
      </c>
      <c r="G21" s="81">
        <v>74.222499999999997</v>
      </c>
      <c r="H21" s="81">
        <v>24.190200000000001</v>
      </c>
      <c r="I21" s="81">
        <v>64.908100000000005</v>
      </c>
      <c r="J21" s="44">
        <f t="shared" si="0"/>
        <v>40.7179</v>
      </c>
    </row>
    <row r="22" spans="1:10" x14ac:dyDescent="0.25">
      <c r="A22" s="75" t="s">
        <v>96</v>
      </c>
      <c r="B22" s="76" t="s">
        <v>77</v>
      </c>
      <c r="C22" s="77">
        <v>2041</v>
      </c>
      <c r="D22" s="78">
        <v>0.35</v>
      </c>
      <c r="E22" s="79">
        <v>1504.6244999999999</v>
      </c>
      <c r="F22" s="80">
        <v>0</v>
      </c>
      <c r="G22" s="81">
        <v>75.274000000000001</v>
      </c>
      <c r="H22" s="81">
        <v>24.5319</v>
      </c>
      <c r="I22" s="81">
        <v>65.4816</v>
      </c>
      <c r="J22" s="44">
        <f t="shared" si="0"/>
        <v>40.9497</v>
      </c>
    </row>
    <row r="23" spans="1:10" x14ac:dyDescent="0.25">
      <c r="A23" s="75" t="s">
        <v>97</v>
      </c>
      <c r="B23" s="76" t="s">
        <v>77</v>
      </c>
      <c r="C23" s="77">
        <v>2042</v>
      </c>
      <c r="D23" s="78">
        <v>0.35</v>
      </c>
      <c r="E23" s="79">
        <v>1514.3006</v>
      </c>
      <c r="F23" s="80">
        <v>0</v>
      </c>
      <c r="G23" s="81">
        <v>76.346500000000006</v>
      </c>
      <c r="H23" s="81">
        <v>24.880400000000002</v>
      </c>
      <c r="I23" s="81">
        <v>66.090199999999996</v>
      </c>
      <c r="J23" s="44">
        <f t="shared" si="0"/>
        <v>41.209799999999994</v>
      </c>
    </row>
    <row r="24" spans="1:10" x14ac:dyDescent="0.25">
      <c r="A24" s="75" t="s">
        <v>98</v>
      </c>
      <c r="B24" s="76" t="s">
        <v>77</v>
      </c>
      <c r="C24" s="77">
        <v>2043</v>
      </c>
      <c r="D24" s="78">
        <v>0.35</v>
      </c>
      <c r="E24" s="79">
        <v>1525.9405999999999</v>
      </c>
      <c r="F24" s="80">
        <v>0</v>
      </c>
      <c r="G24" s="81">
        <v>77.45</v>
      </c>
      <c r="H24" s="81">
        <v>25.237200000000001</v>
      </c>
      <c r="I24" s="81">
        <v>66.757099999999994</v>
      </c>
      <c r="J24" s="44">
        <f t="shared" si="0"/>
        <v>41.519899999999993</v>
      </c>
    </row>
    <row r="25" spans="1:10" x14ac:dyDescent="0.25">
      <c r="A25" s="75" t="s">
        <v>99</v>
      </c>
      <c r="B25" s="76" t="s">
        <v>77</v>
      </c>
      <c r="C25" s="77">
        <v>2044</v>
      </c>
      <c r="D25" s="78">
        <v>0.35</v>
      </c>
      <c r="E25" s="79">
        <v>1535.6138000000001</v>
      </c>
      <c r="F25" s="80">
        <v>0</v>
      </c>
      <c r="G25" s="81">
        <v>78.533699999999996</v>
      </c>
      <c r="H25" s="81">
        <v>25.595300000000002</v>
      </c>
      <c r="I25" s="81">
        <v>67.389499999999998</v>
      </c>
      <c r="J25" s="44">
        <f t="shared" si="0"/>
        <v>41.794199999999996</v>
      </c>
    </row>
    <row r="26" spans="1:10" x14ac:dyDescent="0.25">
      <c r="A26" s="75" t="s">
        <v>100</v>
      </c>
      <c r="B26" s="76" t="s">
        <v>77</v>
      </c>
      <c r="C26" s="77">
        <v>2045</v>
      </c>
      <c r="D26" s="78">
        <v>0.35</v>
      </c>
      <c r="E26" s="79">
        <v>1545.9931999999999</v>
      </c>
      <c r="F26" s="80">
        <v>0</v>
      </c>
      <c r="G26" s="81">
        <v>79.632099999999994</v>
      </c>
      <c r="H26" s="81">
        <v>25.952200000000001</v>
      </c>
      <c r="I26" s="81">
        <v>68.025400000000005</v>
      </c>
      <c r="J26" s="44">
        <f t="shared" si="0"/>
        <v>42.0732</v>
      </c>
    </row>
    <row r="27" spans="1:10" x14ac:dyDescent="0.25">
      <c r="A27" s="75" t="s">
        <v>101</v>
      </c>
      <c r="B27" s="76" t="s">
        <v>77</v>
      </c>
      <c r="C27" s="77">
        <v>2046</v>
      </c>
      <c r="D27" s="78">
        <v>0.35</v>
      </c>
      <c r="E27" s="79">
        <v>1555.8552</v>
      </c>
      <c r="F27" s="80">
        <v>0</v>
      </c>
      <c r="G27" s="81">
        <v>80.728899999999996</v>
      </c>
      <c r="H27" s="81">
        <v>26.308499999999999</v>
      </c>
      <c r="I27" s="81">
        <v>68.646799999999999</v>
      </c>
      <c r="J27" s="44">
        <f t="shared" si="0"/>
        <v>42.338300000000004</v>
      </c>
    </row>
    <row r="28" spans="1:10" x14ac:dyDescent="0.25">
      <c r="A28" s="75" t="s">
        <v>102</v>
      </c>
      <c r="B28" s="76" t="s">
        <v>77</v>
      </c>
      <c r="C28" s="77">
        <v>2047</v>
      </c>
      <c r="D28" s="78">
        <v>0.35</v>
      </c>
      <c r="E28" s="79">
        <v>1565.7346</v>
      </c>
      <c r="F28" s="80">
        <v>0</v>
      </c>
      <c r="G28" s="81">
        <v>81.829400000000007</v>
      </c>
      <c r="H28" s="81">
        <v>26.664200000000001</v>
      </c>
      <c r="I28" s="81">
        <v>69.264399999999995</v>
      </c>
      <c r="J28" s="44">
        <f t="shared" si="0"/>
        <v>42.600199999999994</v>
      </c>
    </row>
    <row r="29" spans="1:10" x14ac:dyDescent="0.25">
      <c r="A29" s="75" t="s">
        <v>103</v>
      </c>
      <c r="B29" s="76" t="s">
        <v>77</v>
      </c>
      <c r="C29" s="77">
        <v>2048</v>
      </c>
      <c r="D29" s="78">
        <v>0.35</v>
      </c>
      <c r="E29" s="79">
        <v>1574.2058999999999</v>
      </c>
      <c r="F29" s="80">
        <v>0</v>
      </c>
      <c r="G29" s="81">
        <v>82.915000000000006</v>
      </c>
      <c r="H29" s="81">
        <v>27.023299999999999</v>
      </c>
      <c r="I29" s="81">
        <v>69.865200000000002</v>
      </c>
      <c r="J29" s="44">
        <f t="shared" si="0"/>
        <v>42.841900000000003</v>
      </c>
    </row>
    <row r="30" spans="1:10" x14ac:dyDescent="0.25">
      <c r="A30" s="75" t="s">
        <v>104</v>
      </c>
      <c r="B30" s="76" t="s">
        <v>77</v>
      </c>
      <c r="C30" s="77">
        <v>2049</v>
      </c>
      <c r="D30" s="78">
        <v>0.35</v>
      </c>
      <c r="E30" s="79">
        <v>1584.2941000000001</v>
      </c>
      <c r="F30" s="80">
        <v>0</v>
      </c>
      <c r="G30" s="81">
        <v>84.0244</v>
      </c>
      <c r="H30" s="81">
        <v>27.383700000000001</v>
      </c>
      <c r="I30" s="81">
        <v>70.496600000000001</v>
      </c>
      <c r="J30" s="44">
        <f t="shared" si="0"/>
        <v>43.112899999999996</v>
      </c>
    </row>
    <row r="31" spans="1:10" x14ac:dyDescent="0.25">
      <c r="A31" s="75" t="s">
        <v>105</v>
      </c>
      <c r="B31" s="76" t="s">
        <v>77</v>
      </c>
      <c r="C31" s="77">
        <v>2050</v>
      </c>
      <c r="D31" s="78">
        <v>0.35</v>
      </c>
      <c r="E31" s="79">
        <v>1593.1525999999999</v>
      </c>
      <c r="F31" s="80">
        <v>0</v>
      </c>
      <c r="G31" s="81">
        <v>85.122</v>
      </c>
      <c r="H31" s="81">
        <v>27.740200000000002</v>
      </c>
      <c r="I31" s="81">
        <v>71.090699999999998</v>
      </c>
      <c r="J31" s="44">
        <f t="shared" si="0"/>
        <v>43.350499999999997</v>
      </c>
    </row>
    <row r="32" spans="1:10" x14ac:dyDescent="0.25">
      <c r="A32" s="75" t="s">
        <v>106</v>
      </c>
      <c r="B32" s="76" t="s">
        <v>77</v>
      </c>
      <c r="C32" s="77">
        <v>2051</v>
      </c>
      <c r="D32" s="78">
        <v>0.35</v>
      </c>
      <c r="E32" s="79">
        <v>1601.4834000000001</v>
      </c>
      <c r="F32" s="80">
        <v>0</v>
      </c>
      <c r="G32" s="81">
        <v>86.216899999999995</v>
      </c>
      <c r="H32" s="81">
        <v>28.093900000000001</v>
      </c>
      <c r="I32" s="81">
        <v>71.664000000000001</v>
      </c>
      <c r="J32" s="44">
        <f t="shared" si="0"/>
        <v>43.570099999999996</v>
      </c>
    </row>
  </sheetData>
  <pageMargins left="0.7" right="0.7" top="1" bottom="0.75" header="0.3" footer="0.3"/>
  <pageSetup scale="88" orientation="portrait" r:id="rId1"/>
  <headerFooter>
    <oddHeader>&amp;RKPSC Case No. 2021-00004
Sierra Club Second Set of Data Requests
Dated April 20, 2021
Item No. 6
Attachment1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55E402D0-8A04-405A-94D3-5E0DEB0F34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35CF Wind Build Cost</vt:lpstr>
      <vt:lpstr>Wind Prices</vt:lpstr>
      <vt:lpstr>KPCo</vt:lpstr>
      <vt:lpstr>WIND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Becker</dc:creator>
  <cp:keywords/>
  <cp:lastModifiedBy>s287620</cp:lastModifiedBy>
  <cp:lastPrinted>2021-04-30T14:16:37Z</cp:lastPrinted>
  <dcterms:created xsi:type="dcterms:W3CDTF">2014-10-13T14:24:17Z</dcterms:created>
  <dcterms:modified xsi:type="dcterms:W3CDTF">2021-04-30T14:16:42Z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3e475980-3624-4882-ac17-c19fab96fcd0</vt:lpwstr>
  </property>
  <property fmtid="{D5CDD505-2E9C-101B-9397-08002B2CF9AE}" pid="3" name="bjSaver">
    <vt:lpwstr>gQpYI2EEEk45fng9JrZZtGLkTVH3/bsP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