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gulatory Strategy\Generation Transformation\APCO WPCO KPCO CCR ELG Filings\Discovery\Kentucky\SC 2-5 Solar PLEXOS inputs\"/>
    </mc:Choice>
  </mc:AlternateContent>
  <bookViews>
    <workbookView xWindow="0" yWindow="0" windowWidth="28800" windowHeight="12000"/>
  </bookViews>
  <sheets>
    <sheet name="Tier 1 Solar Build Cost" sheetId="6" r:id="rId1"/>
    <sheet name="Solar Prices" sheetId="1" r:id="rId2"/>
    <sheet name="KPCo" sheetId="7" r:id="rId3"/>
    <sheet name="SOLAR" sheetId="8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L32" i="8" l="1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S10" i="1" l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9" i="1"/>
  <c r="F11" i="6" l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10" i="6"/>
  <c r="F9" i="6"/>
  <c r="B18" i="7"/>
  <c r="C18" i="7"/>
  <c r="D18" i="7"/>
  <c r="E18" i="7"/>
  <c r="F18" i="7"/>
  <c r="G18" i="7"/>
  <c r="H18" i="7"/>
  <c r="I18" i="7"/>
  <c r="J18" i="7"/>
  <c r="K18" i="7"/>
  <c r="L18" i="7"/>
  <c r="M18" i="7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9" i="6"/>
  <c r="I38" i="1" l="1"/>
  <c r="I37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I15" i="1" l="1"/>
  <c r="I13" i="1"/>
  <c r="I11" i="1"/>
  <c r="E40" i="6"/>
  <c r="E39" i="6"/>
  <c r="E9" i="6"/>
  <c r="A9" i="6"/>
  <c r="E41" i="6" l="1"/>
  <c r="K9" i="6"/>
  <c r="L9" i="6" l="1"/>
  <c r="C42" i="1"/>
  <c r="N38" i="1" l="1"/>
  <c r="N37" i="1"/>
  <c r="F38" i="1"/>
  <c r="F37" i="1"/>
  <c r="M37" i="6" s="1"/>
  <c r="N30" i="1"/>
  <c r="N14" i="1"/>
  <c r="N29" i="1"/>
  <c r="N13" i="1"/>
  <c r="N28" i="1"/>
  <c r="N12" i="1"/>
  <c r="N27" i="1"/>
  <c r="N11" i="1"/>
  <c r="N10" i="1"/>
  <c r="N25" i="1"/>
  <c r="N24" i="1"/>
  <c r="N23" i="1"/>
  <c r="N21" i="1"/>
  <c r="N36" i="1"/>
  <c r="N35" i="1"/>
  <c r="N34" i="1"/>
  <c r="N32" i="1"/>
  <c r="N26" i="1"/>
  <c r="N9" i="1"/>
  <c r="N20" i="1"/>
  <c r="N18" i="1"/>
  <c r="N33" i="1"/>
  <c r="N22" i="1"/>
  <c r="N17" i="1"/>
  <c r="N15" i="1"/>
  <c r="N19" i="1"/>
  <c r="N16" i="1"/>
  <c r="N31" i="1"/>
  <c r="F10" i="1"/>
  <c r="M10" i="6" s="1"/>
  <c r="F9" i="1"/>
  <c r="M9" i="6" s="1"/>
  <c r="N9" i="6" s="1"/>
  <c r="O9" i="6" s="1"/>
  <c r="F12" i="1"/>
  <c r="M12" i="6" s="1"/>
  <c r="I36" i="1"/>
  <c r="F36" i="1"/>
  <c r="M36" i="6" s="1"/>
  <c r="I10" i="1"/>
  <c r="B10" i="6" s="1"/>
  <c r="B11" i="6" s="1"/>
  <c r="B12" i="6" s="1"/>
  <c r="B13" i="6" s="1"/>
  <c r="I12" i="1"/>
  <c r="I14" i="1"/>
  <c r="I16" i="1"/>
  <c r="I17" i="1"/>
  <c r="I18" i="1"/>
  <c r="I19" i="1"/>
  <c r="I20" i="1"/>
  <c r="I21" i="1"/>
  <c r="I22" i="1"/>
  <c r="I23" i="1"/>
  <c r="I24" i="1"/>
  <c r="I26" i="1"/>
  <c r="I25" i="1"/>
  <c r="F13" i="1"/>
  <c r="M13" i="6" s="1"/>
  <c r="F11" i="1"/>
  <c r="M11" i="6" s="1"/>
  <c r="F14" i="1"/>
  <c r="M14" i="6" s="1"/>
  <c r="F15" i="1"/>
  <c r="M15" i="6" s="1"/>
  <c r="F16" i="1"/>
  <c r="M16" i="6" s="1"/>
  <c r="F17" i="1"/>
  <c r="M17" i="6" s="1"/>
  <c r="F18" i="1"/>
  <c r="M18" i="6" s="1"/>
  <c r="F19" i="1"/>
  <c r="M19" i="6" s="1"/>
  <c r="F20" i="1"/>
  <c r="M20" i="6" s="1"/>
  <c r="F21" i="1"/>
  <c r="M21" i="6" s="1"/>
  <c r="F22" i="1"/>
  <c r="M22" i="6" s="1"/>
  <c r="F23" i="1"/>
  <c r="M23" i="6" s="1"/>
  <c r="F24" i="1"/>
  <c r="M24" i="6" s="1"/>
  <c r="B14" i="6" l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F25" i="1"/>
  <c r="M25" i="6" s="1"/>
  <c r="E10" i="6" l="1"/>
  <c r="L10" i="6" s="1"/>
  <c r="N10" i="6" s="1"/>
  <c r="O10" i="6" s="1"/>
  <c r="E11" i="6"/>
  <c r="L11" i="6" s="1"/>
  <c r="I27" i="1"/>
  <c r="B27" i="6" s="1"/>
  <c r="F26" i="1"/>
  <c r="M26" i="6" s="1"/>
  <c r="F27" i="1"/>
  <c r="M27" i="6" s="1"/>
  <c r="K10" i="6" l="1"/>
  <c r="E12" i="6"/>
  <c r="N11" i="6"/>
  <c r="O11" i="6" s="1"/>
  <c r="K11" i="6"/>
  <c r="I28" i="1"/>
  <c r="B28" i="6" s="1"/>
  <c r="F28" i="1"/>
  <c r="M28" i="6" s="1"/>
  <c r="K12" i="6" l="1"/>
  <c r="L12" i="6"/>
  <c r="N12" i="6" s="1"/>
  <c r="O12" i="6" s="1"/>
  <c r="E13" i="6"/>
  <c r="B10" i="1"/>
  <c r="A10" i="6" s="1"/>
  <c r="I29" i="1"/>
  <c r="B29" i="6" s="1"/>
  <c r="F29" i="1"/>
  <c r="M29" i="6" s="1"/>
  <c r="K13" i="6" l="1"/>
  <c r="L13" i="6"/>
  <c r="N13" i="6" s="1"/>
  <c r="O13" i="6" s="1"/>
  <c r="E14" i="6"/>
  <c r="B11" i="1"/>
  <c r="A11" i="6" s="1"/>
  <c r="I30" i="1"/>
  <c r="B30" i="6" s="1"/>
  <c r="F30" i="1"/>
  <c r="M30" i="6" s="1"/>
  <c r="L14" i="6" l="1"/>
  <c r="N14" i="6" s="1"/>
  <c r="O14" i="6" s="1"/>
  <c r="K14" i="6"/>
  <c r="E15" i="6"/>
  <c r="B12" i="1"/>
  <c r="A12" i="6" s="1"/>
  <c r="I31" i="1"/>
  <c r="B31" i="6" s="1"/>
  <c r="F31" i="1"/>
  <c r="M31" i="6" s="1"/>
  <c r="K15" i="6" l="1"/>
  <c r="L15" i="6"/>
  <c r="N15" i="6" s="1"/>
  <c r="O15" i="6" s="1"/>
  <c r="E16" i="6"/>
  <c r="B13" i="1"/>
  <c r="A13" i="6" s="1"/>
  <c r="I32" i="1"/>
  <c r="B32" i="6" s="1"/>
  <c r="F32" i="1"/>
  <c r="M32" i="6" s="1"/>
  <c r="K16" i="6" l="1"/>
  <c r="L16" i="6"/>
  <c r="N16" i="6" s="1"/>
  <c r="O16" i="6" s="1"/>
  <c r="E17" i="6"/>
  <c r="B14" i="1"/>
  <c r="A14" i="6" s="1"/>
  <c r="I33" i="1"/>
  <c r="B33" i="6" s="1"/>
  <c r="F33" i="1"/>
  <c r="M33" i="6" s="1"/>
  <c r="L17" i="6" l="1"/>
  <c r="N17" i="6" s="1"/>
  <c r="O17" i="6" s="1"/>
  <c r="K17" i="6"/>
  <c r="E18" i="6"/>
  <c r="B15" i="1"/>
  <c r="A15" i="6" s="1"/>
  <c r="I35" i="1"/>
  <c r="I34" i="1"/>
  <c r="B34" i="6" s="1"/>
  <c r="B35" i="6" s="1"/>
  <c r="B36" i="6" s="1"/>
  <c r="B37" i="6" s="1"/>
  <c r="E37" i="6" s="1"/>
  <c r="F34" i="1"/>
  <c r="M34" i="6" s="1"/>
  <c r="F35" i="1"/>
  <c r="M35" i="6" s="1"/>
  <c r="K37" i="6" l="1"/>
  <c r="L37" i="6"/>
  <c r="N37" i="6" s="1"/>
  <c r="O37" i="6" s="1"/>
  <c r="K18" i="6"/>
  <c r="L18" i="6"/>
  <c r="N18" i="6" s="1"/>
  <c r="O18" i="6" s="1"/>
  <c r="E19" i="6"/>
  <c r="B16" i="1"/>
  <c r="A16" i="6" s="1"/>
  <c r="K19" i="6" l="1"/>
  <c r="L19" i="6"/>
  <c r="N19" i="6" s="1"/>
  <c r="O19" i="6" s="1"/>
  <c r="E20" i="6"/>
  <c r="B17" i="1"/>
  <c r="A17" i="6" s="1"/>
  <c r="L20" i="6" l="1"/>
  <c r="N20" i="6" s="1"/>
  <c r="O20" i="6" s="1"/>
  <c r="K20" i="6"/>
  <c r="E21" i="6"/>
  <c r="B18" i="1"/>
  <c r="A18" i="6" s="1"/>
  <c r="L21" i="6" l="1"/>
  <c r="N21" i="6" s="1"/>
  <c r="O21" i="6" s="1"/>
  <c r="K21" i="6"/>
  <c r="E22" i="6"/>
  <c r="B19" i="1"/>
  <c r="A19" i="6" s="1"/>
  <c r="E23" i="6" l="1"/>
  <c r="L22" i="6"/>
  <c r="N22" i="6" s="1"/>
  <c r="O22" i="6" s="1"/>
  <c r="K22" i="6"/>
  <c r="B20" i="1"/>
  <c r="A20" i="6" s="1"/>
  <c r="K23" i="6" l="1"/>
  <c r="L23" i="6"/>
  <c r="N23" i="6" s="1"/>
  <c r="O23" i="6" s="1"/>
  <c r="E24" i="6"/>
  <c r="B21" i="1"/>
  <c r="A21" i="6" s="1"/>
  <c r="K24" i="6" l="1"/>
  <c r="L24" i="6"/>
  <c r="N24" i="6" s="1"/>
  <c r="O24" i="6" s="1"/>
  <c r="E25" i="6"/>
  <c r="B22" i="1"/>
  <c r="A22" i="6" s="1"/>
  <c r="L25" i="6" l="1"/>
  <c r="N25" i="6" s="1"/>
  <c r="O25" i="6" s="1"/>
  <c r="K25" i="6"/>
  <c r="E26" i="6"/>
  <c r="B23" i="1"/>
  <c r="A23" i="6" s="1"/>
  <c r="L26" i="6" l="1"/>
  <c r="N26" i="6" s="1"/>
  <c r="O26" i="6" s="1"/>
  <c r="K26" i="6"/>
  <c r="E27" i="6"/>
  <c r="B24" i="1"/>
  <c r="A24" i="6" s="1"/>
  <c r="E28" i="6" l="1"/>
  <c r="K27" i="6"/>
  <c r="L27" i="6"/>
  <c r="N27" i="6" s="1"/>
  <c r="O27" i="6" s="1"/>
  <c r="B25" i="1"/>
  <c r="A25" i="6" s="1"/>
  <c r="L28" i="6" l="1"/>
  <c r="N28" i="6" s="1"/>
  <c r="O28" i="6" s="1"/>
  <c r="K28" i="6"/>
  <c r="E29" i="6"/>
  <c r="B26" i="1"/>
  <c r="A26" i="6" s="1"/>
  <c r="E30" i="6" l="1"/>
  <c r="K29" i="6"/>
  <c r="L29" i="6"/>
  <c r="N29" i="6" s="1"/>
  <c r="O29" i="6" s="1"/>
  <c r="B27" i="1"/>
  <c r="A27" i="6" s="1"/>
  <c r="K30" i="6" l="1"/>
  <c r="L30" i="6"/>
  <c r="N30" i="6" s="1"/>
  <c r="O30" i="6" s="1"/>
  <c r="E31" i="6"/>
  <c r="B28" i="1"/>
  <c r="A28" i="6" s="1"/>
  <c r="K31" i="6" l="1"/>
  <c r="L31" i="6"/>
  <c r="N31" i="6" s="1"/>
  <c r="O31" i="6" s="1"/>
  <c r="E32" i="6"/>
  <c r="B29" i="1"/>
  <c r="A29" i="6" s="1"/>
  <c r="E33" i="6" l="1"/>
  <c r="L32" i="6"/>
  <c r="N32" i="6" s="1"/>
  <c r="O32" i="6" s="1"/>
  <c r="K32" i="6"/>
  <c r="B30" i="1"/>
  <c r="A30" i="6" s="1"/>
  <c r="L33" i="6" l="1"/>
  <c r="N33" i="6" s="1"/>
  <c r="O33" i="6" s="1"/>
  <c r="K33" i="6"/>
  <c r="E34" i="6"/>
  <c r="B31" i="1"/>
  <c r="A31" i="6" s="1"/>
  <c r="L34" i="6" l="1"/>
  <c r="N34" i="6" s="1"/>
  <c r="O34" i="6" s="1"/>
  <c r="K34" i="6"/>
  <c r="E36" i="6"/>
  <c r="E35" i="6"/>
  <c r="B32" i="1"/>
  <c r="A32" i="6" s="1"/>
  <c r="L35" i="6" l="1"/>
  <c r="N35" i="6" s="1"/>
  <c r="O35" i="6" s="1"/>
  <c r="K35" i="6"/>
  <c r="K36" i="6"/>
  <c r="L36" i="6"/>
  <c r="N36" i="6" s="1"/>
  <c r="O36" i="6" s="1"/>
  <c r="B33" i="1"/>
  <c r="A33" i="6" s="1"/>
  <c r="B34" i="1" l="1"/>
  <c r="A34" i="6" s="1"/>
  <c r="B35" i="1" l="1"/>
  <c r="A35" i="6" l="1"/>
  <c r="B36" i="1"/>
  <c r="B37" i="1" s="1"/>
  <c r="A37" i="6" l="1"/>
  <c r="B38" i="1"/>
  <c r="A36" i="6"/>
</calcChain>
</file>

<file path=xl/sharedStrings.xml><?xml version="1.0" encoding="utf-8"?>
<sst xmlns="http://schemas.openxmlformats.org/spreadsheetml/2006/main" count="225" uniqueCount="110">
  <si>
    <t>Annual Energy (GWh)</t>
  </si>
  <si>
    <t>Capacity (MW)</t>
  </si>
  <si>
    <t>Capacity Factor (%)</t>
  </si>
  <si>
    <t>Inflation (%)</t>
  </si>
  <si>
    <t>Levelized Cost ($000)</t>
  </si>
  <si>
    <t>Annual</t>
  </si>
  <si>
    <t>Plexos</t>
  </si>
  <si>
    <t>SLD</t>
  </si>
  <si>
    <t>Capacity</t>
  </si>
  <si>
    <t>Input</t>
  </si>
  <si>
    <t>Equation 9:</t>
  </si>
  <si>
    <t>Method</t>
  </si>
  <si>
    <t>vs</t>
  </si>
  <si>
    <t>Build</t>
  </si>
  <si>
    <t>Maximum</t>
  </si>
  <si>
    <t>Inflation</t>
  </si>
  <si>
    <t>Economic</t>
  </si>
  <si>
    <t>Tax</t>
  </si>
  <si>
    <t>Annuity</t>
  </si>
  <si>
    <t>Cost</t>
  </si>
  <si>
    <t>Units</t>
  </si>
  <si>
    <t>WACC</t>
  </si>
  <si>
    <t>Rate</t>
  </si>
  <si>
    <t>Life</t>
  </si>
  <si>
    <t>Depreciation</t>
  </si>
  <si>
    <t>Calculation</t>
  </si>
  <si>
    <t>($/kW)</t>
  </si>
  <si>
    <t>Built</t>
  </si>
  <si>
    <t>(MW)</t>
  </si>
  <si>
    <t>($000)</t>
  </si>
  <si>
    <t>(%)</t>
  </si>
  <si>
    <t>(Years)</t>
  </si>
  <si>
    <t>Real Annuity Factor =</t>
  </si>
  <si>
    <t>Nominal Annuity Factor =</t>
  </si>
  <si>
    <t>SLD Factor =</t>
  </si>
  <si>
    <t>Levelized</t>
  </si>
  <si>
    <t>Solar Alternative Pricing</t>
  </si>
  <si>
    <t>Generic Solar</t>
  </si>
  <si>
    <t>Plexos Addition of 50 MW Utility Tier 2 Solar Capital Cost Calculation</t>
  </si>
  <si>
    <t>$/kW</t>
  </si>
  <si>
    <t xml:space="preserve">$/KW-Yr </t>
  </si>
  <si>
    <t>FOM</t>
  </si>
  <si>
    <t>COD EOY</t>
  </si>
  <si>
    <t>Modeling YR</t>
  </si>
  <si>
    <t>2020 KPCo CCR/ELG</t>
  </si>
  <si>
    <t>EIA</t>
  </si>
  <si>
    <t>Column L</t>
  </si>
  <si>
    <t>(4) @ 21% Federal Income Tax Rate</t>
  </si>
  <si>
    <t>(3) Assuming MACRS Tax Depreciation</t>
  </si>
  <si>
    <t>(2) Sinking Fund annuity with R1 Dispersion of Retirements</t>
  </si>
  <si>
    <t>(1) Based on a 100% (as of 12/31/2019) and 0% incremental weighting of capital costs</t>
  </si>
  <si>
    <t>Carrying Cost Per Year</t>
  </si>
  <si>
    <t>Property Taxes,  General  &amp; Admin Expenses</t>
  </si>
  <si>
    <t>FIT (3) (4)</t>
  </si>
  <si>
    <t>Depreciation (2)</t>
  </si>
  <si>
    <t>Return (1)</t>
  </si>
  <si>
    <t>Investment Life (Years)</t>
  </si>
  <si>
    <t>As of 12/31/2019</t>
  </si>
  <si>
    <t>For Economic Analyses</t>
  </si>
  <si>
    <t>Annual Investment Carrying Charges</t>
  </si>
  <si>
    <t>Kentucky Power Company</t>
  </si>
  <si>
    <t>FO&amp;M Charge</t>
  </si>
  <si>
    <t>Column I</t>
  </si>
  <si>
    <t>FO&amp;M Cost ($000)</t>
  </si>
  <si>
    <t>Max Capacity (MW)</t>
  </si>
  <si>
    <t>Project Name</t>
  </si>
  <si>
    <t>OpCo</t>
  </si>
  <si>
    <t>COD</t>
  </si>
  <si>
    <t>Tier</t>
  </si>
  <si>
    <t>Calc CF</t>
  </si>
  <si>
    <t>Levelized CF</t>
  </si>
  <si>
    <t>ITC %</t>
  </si>
  <si>
    <t>Build Cost $/kW</t>
  </si>
  <si>
    <t>Levelized O&amp;M $/kW</t>
  </si>
  <si>
    <t>Levelized O&amp;M $/MWh</t>
  </si>
  <si>
    <t>Levelized Cost of Energy $/MWh</t>
  </si>
  <si>
    <t>Levelized Capital Cost $/MWH</t>
  </si>
  <si>
    <t>2021COD-KYP-Tier 2</t>
  </si>
  <si>
    <t>KYP</t>
  </si>
  <si>
    <t>Tier 2</t>
  </si>
  <si>
    <t>2022COD-KYP-Tier 2</t>
  </si>
  <si>
    <t>2023COD-KYP-Tier 2</t>
  </si>
  <si>
    <t>2024COD-KYP-Tier 2</t>
  </si>
  <si>
    <t>2025COD-KYP-Tier 2</t>
  </si>
  <si>
    <t>2026COD-KYP-Tier 2</t>
  </si>
  <si>
    <t>2027COD-KYP-Tier 2</t>
  </si>
  <si>
    <t>2028COD-KYP-Tier 2</t>
  </si>
  <si>
    <t>2029COD-KYP-Tier 2</t>
  </si>
  <si>
    <t>2030COD-KYP-Tier 2</t>
  </si>
  <si>
    <t>2031COD-KYP-Tier 2</t>
  </si>
  <si>
    <t>2032COD-KYP-Tier 2</t>
  </si>
  <si>
    <t>2033COD-KYP-Tier 2</t>
  </si>
  <si>
    <t>2034COD-KYP-Tier 2</t>
  </si>
  <si>
    <t>2035COD-KYP-Tier 2</t>
  </si>
  <si>
    <t>2036COD-KYP-Tier 2</t>
  </si>
  <si>
    <t>2037COD-KYP-Tier 2</t>
  </si>
  <si>
    <t>2038COD-KYP-Tier 2</t>
  </si>
  <si>
    <t>2039COD-KYP-Tier 2</t>
  </si>
  <si>
    <t>2040COD-KYP-Tier 2</t>
  </si>
  <si>
    <t>2041COD-KYP-Tier 2</t>
  </si>
  <si>
    <t>2042COD-KYP-Tier 2</t>
  </si>
  <si>
    <t>2043COD-KYP-Tier 2</t>
  </si>
  <si>
    <t>2044COD-KYP-Tier 2</t>
  </si>
  <si>
    <t>2045COD-KYP-Tier 2</t>
  </si>
  <si>
    <t>2046COD-KYP-Tier 2</t>
  </si>
  <si>
    <t>2047COD-KYP-Tier 2</t>
  </si>
  <si>
    <t>2048COD-KYP-Tier 2</t>
  </si>
  <si>
    <t>2049COD-KYP-Tier 2</t>
  </si>
  <si>
    <t>2050COD-KYP-Tier 2</t>
  </si>
  <si>
    <t>Levelized Capital Cost ($/MWh)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</si>
</sst>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"/>
    <numFmt numFmtId="166" formatCode="0.000"/>
    <numFmt numFmtId="167" formatCode="mmmm\ d\,\ yyyy"/>
    <numFmt numFmtId="168" formatCode="0.000000"/>
    <numFmt numFmtId="169" formatCode="&quot;$&quot;#,##0.00"/>
    <numFmt numFmtId="170" formatCode="[$-409]mmmm\-yy;@"/>
    <numFmt numFmtId="171" formatCode="#,##0.0"/>
    <numFmt numFmtId="172" formatCode="&quot;$&quot;#,##0.0"/>
    <numFmt numFmtId="173" formatCode="&quot;$&quot;#,##0.00;[Red]&quot;$&quot;#,##0.00"/>
    <numFmt numFmtId="174" formatCode="&quot;$&quot;#,##0;[Red]&quot;$&quot;#,##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42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0" fontId="2" fillId="0" borderId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</xf>
    <xf numFmtId="0" fontId="6" fillId="0" borderId="1">
      <alignment horizontal="center"/>
    </xf>
    <xf numFmtId="0" fontId="6" fillId="0" borderId="1">
      <alignment horizontal="center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168" fontId="1" fillId="0" borderId="0">
      <alignment horizontal="left" wrapText="1"/>
    </xf>
    <xf numFmtId="168" fontId="1" fillId="0" borderId="0">
      <alignment horizontal="left" wrapText="1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21" borderId="4" applyNumberFormat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1" fillId="0" borderId="12" applyNumberFormat="0" applyFill="0" applyAlignment="0" applyProtection="0"/>
    <xf numFmtId="3" fontId="1" fillId="0" borderId="0" applyFill="0" applyBorder="0" applyAlignment="0" applyProtection="0"/>
    <xf numFmtId="0" fontId="21" fillId="0" borderId="12" applyNumberFormat="0" applyFill="0" applyAlignment="0" applyProtection="0"/>
    <xf numFmtId="3" fontId="1" fillId="0" borderId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18" fillId="0" borderId="0" applyNumberFormat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13" fillId="4" borderId="0" applyNumberFormat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2" fillId="7" borderId="3" applyNumberFormat="0" applyAlignment="0" applyProtection="0"/>
    <xf numFmtId="0" fontId="23" fillId="0" borderId="8" applyNumberFormat="0" applyFill="0" applyAlignment="0" applyProtection="0"/>
    <xf numFmtId="0" fontId="24" fillId="22" borderId="0" applyNumberFormat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70" fontId="1" fillId="0" borderId="0"/>
    <xf numFmtId="0" fontId="1" fillId="0" borderId="0"/>
    <xf numFmtId="0" fontId="1" fillId="0" borderId="0"/>
    <xf numFmtId="0" fontId="6" fillId="0" borderId="13">
      <alignment horizontal="center"/>
    </xf>
    <xf numFmtId="0" fontId="1" fillId="0" borderId="0"/>
    <xf numFmtId="0" fontId="8" fillId="0" borderId="0"/>
    <xf numFmtId="0" fontId="31" fillId="0" borderId="0"/>
    <xf numFmtId="0" fontId="1" fillId="0" borderId="0"/>
    <xf numFmtId="0" fontId="32" fillId="0" borderId="0"/>
    <xf numFmtId="170" fontId="1" fillId="0" borderId="0"/>
    <xf numFmtId="0" fontId="6" fillId="0" borderId="13">
      <alignment horizontal="center"/>
    </xf>
    <xf numFmtId="0" fontId="1" fillId="0" borderId="0"/>
    <xf numFmtId="170" fontId="1" fillId="0" borderId="0"/>
    <xf numFmtId="0" fontId="29" fillId="0" borderId="0"/>
    <xf numFmtId="0" fontId="29" fillId="0" borderId="0"/>
    <xf numFmtId="0" fontId="1" fillId="0" borderId="0"/>
    <xf numFmtId="0" fontId="6" fillId="0" borderId="13">
      <alignment horizontal="center"/>
    </xf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25" fillId="20" borderId="10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27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/>
    <xf numFmtId="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3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169" fontId="0" fillId="0" borderId="0" xfId="0" applyNumberFormat="1" applyBorder="1"/>
    <xf numFmtId="0" fontId="34" fillId="0" borderId="0" xfId="0" applyFont="1" applyAlignment="1">
      <alignment horizontal="center"/>
    </xf>
    <xf numFmtId="173" fontId="0" fillId="0" borderId="0" xfId="0" applyNumberFormat="1" applyAlignment="1">
      <alignment horizontal="center"/>
    </xf>
    <xf numFmtId="0" fontId="35" fillId="0" borderId="0" xfId="0" applyFont="1"/>
    <xf numFmtId="0" fontId="8" fillId="0" borderId="0" xfId="454"/>
    <xf numFmtId="0" fontId="8" fillId="0" borderId="0" xfId="454" quotePrefix="1"/>
    <xf numFmtId="0" fontId="8" fillId="0" borderId="0" xfId="454" applyFill="1"/>
    <xf numFmtId="9" fontId="0" fillId="0" borderId="0" xfId="539" applyFont="1"/>
    <xf numFmtId="0" fontId="8" fillId="0" borderId="0" xfId="454" quotePrefix="1" applyFill="1"/>
    <xf numFmtId="14" fontId="8" fillId="0" borderId="0" xfId="454" applyNumberFormat="1"/>
    <xf numFmtId="2" fontId="8" fillId="0" borderId="0" xfId="454" applyNumberFormat="1"/>
    <xf numFmtId="2" fontId="8" fillId="0" borderId="14" xfId="454" applyNumberFormat="1" applyBorder="1"/>
    <xf numFmtId="0" fontId="8" fillId="0" borderId="0" xfId="454" applyAlignment="1">
      <alignment wrapText="1"/>
    </xf>
    <xf numFmtId="0" fontId="8" fillId="0" borderId="14" xfId="454" applyBorder="1" applyProtection="1">
      <protection locked="0"/>
    </xf>
    <xf numFmtId="0" fontId="8" fillId="0" borderId="15" xfId="454" applyBorder="1"/>
    <xf numFmtId="0" fontId="8" fillId="0" borderId="14" xfId="454" applyBorder="1"/>
    <xf numFmtId="0" fontId="8" fillId="0" borderId="14" xfId="454" applyBorder="1" applyAlignment="1">
      <alignment horizontal="center"/>
    </xf>
    <xf numFmtId="0" fontId="8" fillId="0" borderId="0" xfId="454" applyFill="1" applyBorder="1"/>
    <xf numFmtId="0" fontId="8" fillId="0" borderId="0" xfId="454" applyAlignment="1">
      <alignment horizontal="center"/>
    </xf>
    <xf numFmtId="14" fontId="8" fillId="0" borderId="0" xfId="454" quotePrefix="1" applyNumberFormat="1"/>
    <xf numFmtId="169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9" fontId="0" fillId="0" borderId="0" xfId="0" applyNumberFormat="1"/>
    <xf numFmtId="0" fontId="0" fillId="0" borderId="0" xfId="0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8" fillId="0" borderId="14" xfId="454" applyFill="1" applyBorder="1"/>
    <xf numFmtId="0" fontId="8" fillId="0" borderId="14" xfId="454" applyFill="1" applyBorder="1" applyProtection="1">
      <protection locked="0"/>
    </xf>
    <xf numFmtId="2" fontId="8" fillId="0" borderId="0" xfId="454" applyNumberFormat="1" applyFill="1"/>
    <xf numFmtId="2" fontId="8" fillId="0" borderId="14" xfId="454" applyNumberFormat="1" applyFill="1" applyBorder="1"/>
    <xf numFmtId="9" fontId="0" fillId="0" borderId="0" xfId="539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36" fillId="0" borderId="0" xfId="0" applyFont="1" applyFill="1"/>
    <xf numFmtId="0" fontId="0" fillId="0" borderId="0" xfId="0" applyFill="1" applyBorder="1"/>
    <xf numFmtId="0" fontId="37" fillId="24" borderId="0" xfId="0" applyFont="1" applyFill="1" applyAlignment="1">
      <alignment horizontal="center" vertical="center" wrapText="1"/>
    </xf>
    <xf numFmtId="174" fontId="37" fillId="24" borderId="0" xfId="0" applyNumberFormat="1" applyFont="1" applyFill="1" applyAlignment="1">
      <alignment horizontal="center" vertical="center" wrapText="1"/>
    </xf>
    <xf numFmtId="10" fontId="1" fillId="0" borderId="0" xfId="541" applyNumberFormat="1" applyFont="1" applyBorder="1" applyAlignment="1">
      <alignment horizontal="left"/>
    </xf>
    <xf numFmtId="0" fontId="1" fillId="0" borderId="0" xfId="155" applyBorder="1" applyAlignment="1">
      <alignment horizontal="center"/>
    </xf>
    <xf numFmtId="10" fontId="1" fillId="0" borderId="0" xfId="541" applyNumberFormat="1" applyFont="1" applyBorder="1" applyAlignment="1">
      <alignment horizontal="center"/>
    </xf>
    <xf numFmtId="9" fontId="1" fillId="0" borderId="0" xfId="541" applyFont="1" applyBorder="1" applyAlignment="1">
      <alignment horizontal="center"/>
    </xf>
    <xf numFmtId="174" fontId="1" fillId="0" borderId="0" xfId="540" applyNumberFormat="1" applyFont="1" applyBorder="1" applyAlignment="1">
      <alignment horizontal="center"/>
    </xf>
    <xf numFmtId="169" fontId="1" fillId="0" borderId="0" xfId="155" applyNumberFormat="1" applyBorder="1" applyAlignment="1">
      <alignment horizontal="center"/>
    </xf>
    <xf numFmtId="173" fontId="1" fillId="0" borderId="0" xfId="155" applyNumberFormat="1" applyBorder="1" applyAlignment="1">
      <alignment horizontal="center"/>
    </xf>
    <xf numFmtId="173" fontId="0" fillId="0" borderId="0" xfId="0" applyNumberFormat="1"/>
    <xf numFmtId="0" fontId="3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542">
    <cellStyle name=" 1" xfId="215"/>
    <cellStyle name=" 1 2" xfId="216"/>
    <cellStyle name="20% - Accent1 2" xfId="217"/>
    <cellStyle name="20% - Accent1 2 2" xfId="218"/>
    <cellStyle name="20% - Accent1 3" xfId="219"/>
    <cellStyle name="20% - Accent2 2" xfId="220"/>
    <cellStyle name="20% - Accent2 2 2" xfId="221"/>
    <cellStyle name="20% - Accent2 3" xfId="222"/>
    <cellStyle name="20% - Accent3 2" xfId="223"/>
    <cellStyle name="20% - Accent3 2 2" xfId="224"/>
    <cellStyle name="20% - Accent3 3" xfId="225"/>
    <cellStyle name="20% - Accent4 2" xfId="226"/>
    <cellStyle name="20% - Accent4 2 2" xfId="227"/>
    <cellStyle name="20% - Accent4 3" xfId="228"/>
    <cellStyle name="20% - Accent5 2" xfId="229"/>
    <cellStyle name="20% - Accent5 2 2" xfId="230"/>
    <cellStyle name="20% - Accent5 3" xfId="231"/>
    <cellStyle name="20% - Accent6 2" xfId="232"/>
    <cellStyle name="20% - Accent6 2 2" xfId="233"/>
    <cellStyle name="20% - Accent6 3" xfId="234"/>
    <cellStyle name="40% - Accent1 2" xfId="235"/>
    <cellStyle name="40% - Accent1 2 2" xfId="236"/>
    <cellStyle name="40% - Accent1 3" xfId="237"/>
    <cellStyle name="40% - Accent2 2" xfId="238"/>
    <cellStyle name="40% - Accent2 2 2" xfId="239"/>
    <cellStyle name="40% - Accent2 3" xfId="240"/>
    <cellStyle name="40% - Accent3 2" xfId="241"/>
    <cellStyle name="40% - Accent3 2 2" xfId="242"/>
    <cellStyle name="40% - Accent3 3" xfId="243"/>
    <cellStyle name="40% - Accent4 2" xfId="244"/>
    <cellStyle name="40% - Accent4 2 2" xfId="245"/>
    <cellStyle name="40% - Accent4 3" xfId="246"/>
    <cellStyle name="40% - Accent5 2" xfId="247"/>
    <cellStyle name="40% - Accent5 2 2" xfId="248"/>
    <cellStyle name="40% - Accent5 3" xfId="249"/>
    <cellStyle name="40% - Accent6 2" xfId="250"/>
    <cellStyle name="40% - Accent6 2 2" xfId="251"/>
    <cellStyle name="40% - Accent6 3" xfId="252"/>
    <cellStyle name="60% - Accent1 2" xfId="253"/>
    <cellStyle name="60% - Accent2 2" xfId="254"/>
    <cellStyle name="60% - Accent3 2" xfId="255"/>
    <cellStyle name="60% - Accent4 2" xfId="256"/>
    <cellStyle name="60% - Accent5 2" xfId="257"/>
    <cellStyle name="60% - Accent6 2" xfId="258"/>
    <cellStyle name="Accent1 2" xfId="259"/>
    <cellStyle name="Accent2 2" xfId="260"/>
    <cellStyle name="Accent3 2" xfId="261"/>
    <cellStyle name="Accent4 2" xfId="262"/>
    <cellStyle name="Accent5 2" xfId="263"/>
    <cellStyle name="Accent6 2" xfId="264"/>
    <cellStyle name="Bad 2" xfId="265"/>
    <cellStyle name="Calculation 2" xfId="266"/>
    <cellStyle name="Check Cell 2" xfId="267"/>
    <cellStyle name="Comma" xfId="540" builtinId="3"/>
    <cellStyle name="Comma 10" xfId="268"/>
    <cellStyle name="Comma 11" xfId="269"/>
    <cellStyle name="Comma 11 2" xfId="270"/>
    <cellStyle name="Comma 12" xfId="271"/>
    <cellStyle name="Comma 2" xfId="1"/>
    <cellStyle name="Comma 2 2" xfId="2"/>
    <cellStyle name="Comma 2 2 2" xfId="272"/>
    <cellStyle name="Comma 2 3" xfId="3"/>
    <cellStyle name="Comma 2 3 2" xfId="273"/>
    <cellStyle name="Comma 2 4" xfId="4"/>
    <cellStyle name="Comma 2 4 2" xfId="274"/>
    <cellStyle name="Comma 2 5" xfId="275"/>
    <cellStyle name="Comma 2 5 2" xfId="276"/>
    <cellStyle name="Comma 2 6" xfId="277"/>
    <cellStyle name="Comma 2 6 2" xfId="278"/>
    <cellStyle name="Comma 2 7" xfId="279"/>
    <cellStyle name="Comma 3" xfId="5"/>
    <cellStyle name="Comma 3 2" xfId="6"/>
    <cellStyle name="Comma 3 2 2" xfId="7"/>
    <cellStyle name="Comma 3 2 2 2" xfId="280"/>
    <cellStyle name="Comma 3 2 3" xfId="281"/>
    <cellStyle name="Comma 3 3" xfId="8"/>
    <cellStyle name="Comma 3 3 2" xfId="282"/>
    <cellStyle name="Comma 3 4" xfId="9"/>
    <cellStyle name="Comma 3 4 2" xfId="283"/>
    <cellStyle name="Comma 3 5" xfId="284"/>
    <cellStyle name="Comma 4" xfId="10"/>
    <cellStyle name="Comma 4 2" xfId="285"/>
    <cellStyle name="Comma 5" xfId="11"/>
    <cellStyle name="Comma 5 2" xfId="286"/>
    <cellStyle name="Comma 6" xfId="12"/>
    <cellStyle name="Comma 6 2" xfId="287"/>
    <cellStyle name="Comma 7" xfId="13"/>
    <cellStyle name="Comma 7 2" xfId="288"/>
    <cellStyle name="Comma 7 3" xfId="289"/>
    <cellStyle name="Comma 8" xfId="290"/>
    <cellStyle name="Comma 8 2" xfId="291"/>
    <cellStyle name="Comma 9" xfId="292"/>
    <cellStyle name="Comma 9 2" xfId="293"/>
    <cellStyle name="Comma0" xfId="14"/>
    <cellStyle name="Comma0 - Style3" xfId="15"/>
    <cellStyle name="Comma0 10" xfId="16"/>
    <cellStyle name="Comma0 10 2" xfId="17"/>
    <cellStyle name="Comma0 10 2 2" xfId="294"/>
    <cellStyle name="Comma0 10 3" xfId="295"/>
    <cellStyle name="Comma0 11" xfId="18"/>
    <cellStyle name="Comma0 11 2" xfId="19"/>
    <cellStyle name="Comma0 11 2 2" xfId="296"/>
    <cellStyle name="Comma0 11 3" xfId="297"/>
    <cellStyle name="Comma0 12" xfId="20"/>
    <cellStyle name="Comma0 12 2" xfId="21"/>
    <cellStyle name="Comma0 12 2 2" xfId="298"/>
    <cellStyle name="Comma0 12 3" xfId="299"/>
    <cellStyle name="Comma0 13" xfId="22"/>
    <cellStyle name="Comma0 13 2" xfId="23"/>
    <cellStyle name="Comma0 13 2 2" xfId="300"/>
    <cellStyle name="Comma0 13 3" xfId="301"/>
    <cellStyle name="Comma0 14" xfId="24"/>
    <cellStyle name="Comma0 14 2" xfId="302"/>
    <cellStyle name="Comma0 15" xfId="25"/>
    <cellStyle name="Comma0 15 2" xfId="303"/>
    <cellStyle name="Comma0 16" xfId="26"/>
    <cellStyle name="Comma0 16 2" xfId="304"/>
    <cellStyle name="Comma0 17" xfId="27"/>
    <cellStyle name="Comma0 17 2" xfId="305"/>
    <cellStyle name="Comma0 18" xfId="28"/>
    <cellStyle name="Comma0 18 2" xfId="307"/>
    <cellStyle name="Comma0 19" xfId="29"/>
    <cellStyle name="Comma0 19 2" xfId="309"/>
    <cellStyle name="Comma0 2" xfId="30"/>
    <cellStyle name="Comma0 2 2" xfId="31"/>
    <cellStyle name="Comma0 2 2 2" xfId="312"/>
    <cellStyle name="Comma0 2 3" xfId="32"/>
    <cellStyle name="Comma0 2 3 2" xfId="313"/>
    <cellStyle name="Comma0 2 4" xfId="33"/>
    <cellStyle name="Comma0 2 4 2" xfId="314"/>
    <cellStyle name="Comma0 2 5" xfId="315"/>
    <cellStyle name="Comma0 20" xfId="34"/>
    <cellStyle name="Comma0 20 2" xfId="316"/>
    <cellStyle name="Comma0 21" xfId="35"/>
    <cellStyle name="Comma0 21 2" xfId="317"/>
    <cellStyle name="Comma0 22" xfId="36"/>
    <cellStyle name="Comma0 22 2" xfId="318"/>
    <cellStyle name="Comma0 23" xfId="37"/>
    <cellStyle name="Comma0 23 2" xfId="319"/>
    <cellStyle name="Comma0 24" xfId="38"/>
    <cellStyle name="Comma0 24 2" xfId="320"/>
    <cellStyle name="Comma0 25" xfId="39"/>
    <cellStyle name="Comma0 25 2" xfId="321"/>
    <cellStyle name="Comma0 26" xfId="40"/>
    <cellStyle name="Comma0 26 2" xfId="322"/>
    <cellStyle name="Comma0 27" xfId="41"/>
    <cellStyle name="Comma0 27 2" xfId="323"/>
    <cellStyle name="Comma0 28" xfId="42"/>
    <cellStyle name="Comma0 28 2" xfId="324"/>
    <cellStyle name="Comma0 29" xfId="43"/>
    <cellStyle name="Comma0 29 2" xfId="325"/>
    <cellStyle name="Comma0 3" xfId="44"/>
    <cellStyle name="Comma0 3 2" xfId="45"/>
    <cellStyle name="Comma0 3 2 2" xfId="326"/>
    <cellStyle name="Comma0 3 3" xfId="46"/>
    <cellStyle name="Comma0 3 3 2" xfId="327"/>
    <cellStyle name="Comma0 3 4" xfId="47"/>
    <cellStyle name="Comma0 3 4 2" xfId="328"/>
    <cellStyle name="Comma0 3 5" xfId="329"/>
    <cellStyle name="Comma0 30" xfId="48"/>
    <cellStyle name="Comma0 30 2" xfId="330"/>
    <cellStyle name="Comma0 31" xfId="49"/>
    <cellStyle name="Comma0 31 2" xfId="331"/>
    <cellStyle name="Comma0 32" xfId="50"/>
    <cellStyle name="Comma0 32 2" xfId="332"/>
    <cellStyle name="Comma0 33" xfId="51"/>
    <cellStyle name="Comma0 33 2" xfId="333"/>
    <cellStyle name="Comma0 34" xfId="52"/>
    <cellStyle name="Comma0 34 2" xfId="334"/>
    <cellStyle name="Comma0 35" xfId="53"/>
    <cellStyle name="Comma0 35 2" xfId="335"/>
    <cellStyle name="Comma0 36" xfId="54"/>
    <cellStyle name="Comma0 36 2" xfId="336"/>
    <cellStyle name="Comma0 37" xfId="55"/>
    <cellStyle name="Comma0 38" xfId="56"/>
    <cellStyle name="Comma0 39" xfId="57"/>
    <cellStyle name="Comma0 4" xfId="58"/>
    <cellStyle name="Comma0 4 2" xfId="59"/>
    <cellStyle name="Comma0 4 2 2" xfId="337"/>
    <cellStyle name="Comma0 4 3" xfId="60"/>
    <cellStyle name="Comma0 4 3 2" xfId="338"/>
    <cellStyle name="Comma0 4 4" xfId="61"/>
    <cellStyle name="Comma0 4 4 2" xfId="339"/>
    <cellStyle name="Comma0 4 5" xfId="340"/>
    <cellStyle name="Comma0 40" xfId="341"/>
    <cellStyle name="Comma0 41" xfId="342"/>
    <cellStyle name="Comma0 42" xfId="343"/>
    <cellStyle name="Comma0 43" xfId="344"/>
    <cellStyle name="Comma0 44" xfId="345"/>
    <cellStyle name="Comma0 45" xfId="346"/>
    <cellStyle name="Comma0 5" xfId="62"/>
    <cellStyle name="Comma0 5 2" xfId="63"/>
    <cellStyle name="Comma0 5 2 2" xfId="347"/>
    <cellStyle name="Comma0 5 3" xfId="64"/>
    <cellStyle name="Comma0 5 3 2" xfId="348"/>
    <cellStyle name="Comma0 5 4" xfId="65"/>
    <cellStyle name="Comma0 5 4 2" xfId="349"/>
    <cellStyle name="Comma0 5 5" xfId="350"/>
    <cellStyle name="Comma0 6" xfId="66"/>
    <cellStyle name="Comma0 6 2" xfId="67"/>
    <cellStyle name="Comma0 6 2 2" xfId="351"/>
    <cellStyle name="Comma0 6 3" xfId="68"/>
    <cellStyle name="Comma0 6 3 2" xfId="352"/>
    <cellStyle name="Comma0 6 4" xfId="69"/>
    <cellStyle name="Comma0 6 4 2" xfId="353"/>
    <cellStyle name="Comma0 6 5" xfId="354"/>
    <cellStyle name="Comma0 7" xfId="70"/>
    <cellStyle name="Comma0 7 2" xfId="71"/>
    <cellStyle name="Comma0 7 2 2" xfId="72"/>
    <cellStyle name="Comma0 7 2 2 2" xfId="355"/>
    <cellStyle name="Comma0 7 2 3" xfId="356"/>
    <cellStyle name="Comma0 7 3" xfId="73"/>
    <cellStyle name="Comma0 7 3 2" xfId="357"/>
    <cellStyle name="Comma0 7 4" xfId="74"/>
    <cellStyle name="Comma0 7 4 2" xfId="358"/>
    <cellStyle name="Comma0 7 5" xfId="359"/>
    <cellStyle name="Comma0 8" xfId="75"/>
    <cellStyle name="Comma0 8 2" xfId="76"/>
    <cellStyle name="Comma0 8 2 2" xfId="77"/>
    <cellStyle name="Comma0 8 2 2 2" xfId="360"/>
    <cellStyle name="Comma0 8 2 3" xfId="361"/>
    <cellStyle name="Comma0 8 3" xfId="78"/>
    <cellStyle name="Comma0 8 3 2" xfId="362"/>
    <cellStyle name="Comma0 8 4" xfId="79"/>
    <cellStyle name="Comma0 8 4 2" xfId="363"/>
    <cellStyle name="Comma0 8 5" xfId="364"/>
    <cellStyle name="Comma0 9" xfId="80"/>
    <cellStyle name="Comma0 9 2" xfId="81"/>
    <cellStyle name="Comma0 9 2 2" xfId="365"/>
    <cellStyle name="Comma0 9 3" xfId="366"/>
    <cellStyle name="Currency 2" xfId="82"/>
    <cellStyle name="Currency 2 2" xfId="367"/>
    <cellStyle name="Currency 3" xfId="83"/>
    <cellStyle name="Currency 3 2" xfId="368"/>
    <cellStyle name="Currency 4" xfId="369"/>
    <cellStyle name="Currency 4 2" xfId="370"/>
    <cellStyle name="Currency 5" xfId="371"/>
    <cellStyle name="Currency 6" xfId="372"/>
    <cellStyle name="Currency 7" xfId="373"/>
    <cellStyle name="Currency 7 2" xfId="374"/>
    <cellStyle name="Currency 7 2 2" xfId="375"/>
    <cellStyle name="Currency 7 3" xfId="376"/>
    <cellStyle name="Currency0" xfId="84"/>
    <cellStyle name="Currency0 2" xfId="85"/>
    <cellStyle name="Currency0 2 2" xfId="86"/>
    <cellStyle name="Currency0 2 2 2" xfId="377"/>
    <cellStyle name="Currency0 2 3" xfId="87"/>
    <cellStyle name="Currency0 2 3 2" xfId="378"/>
    <cellStyle name="Currency0 2 4" xfId="88"/>
    <cellStyle name="Currency0 2 4 2" xfId="379"/>
    <cellStyle name="Currency0 2 5" xfId="380"/>
    <cellStyle name="Currency0 3" xfId="89"/>
    <cellStyle name="Currency0 3 2" xfId="90"/>
    <cellStyle name="Currency0 3 2 2" xfId="91"/>
    <cellStyle name="Currency0 3 2 2 2" xfId="381"/>
    <cellStyle name="Currency0 3 2 3" xfId="382"/>
    <cellStyle name="Currency0 3 3" xfId="92"/>
    <cellStyle name="Currency0 3 3 2" xfId="383"/>
    <cellStyle name="Currency0 3 4" xfId="93"/>
    <cellStyle name="Currency0 3 4 2" xfId="384"/>
    <cellStyle name="Currency0 3 5" xfId="385"/>
    <cellStyle name="Currency0 4" xfId="94"/>
    <cellStyle name="Currency0 4 2" xfId="386"/>
    <cellStyle name="Currency0 5" xfId="95"/>
    <cellStyle name="Currency0 5 2" xfId="387"/>
    <cellStyle name="Currency0 6" xfId="96"/>
    <cellStyle name="Currency0 6 2" xfId="388"/>
    <cellStyle name="Currency0 7" xfId="389"/>
    <cellStyle name="Date" xfId="97"/>
    <cellStyle name="Date 2" xfId="98"/>
    <cellStyle name="Date 2 2" xfId="99"/>
    <cellStyle name="Date 2 2 2" xfId="390"/>
    <cellStyle name="Date 2 3" xfId="100"/>
    <cellStyle name="Date 2 3 2" xfId="391"/>
    <cellStyle name="Date 2 4" xfId="101"/>
    <cellStyle name="Date 2 4 2" xfId="392"/>
    <cellStyle name="Date 2 5" xfId="393"/>
    <cellStyle name="Date 3" xfId="102"/>
    <cellStyle name="Date 3 2" xfId="103"/>
    <cellStyle name="Date 3 2 2" xfId="104"/>
    <cellStyle name="Date 3 2 2 2" xfId="394"/>
    <cellStyle name="Date 3 2 3" xfId="395"/>
    <cellStyle name="Date 3 3" xfId="105"/>
    <cellStyle name="Date 3 3 2" xfId="396"/>
    <cellStyle name="Date 3 4" xfId="106"/>
    <cellStyle name="Date 3 4 2" xfId="397"/>
    <cellStyle name="Date 3 5" xfId="398"/>
    <cellStyle name="Date 4" xfId="107"/>
    <cellStyle name="Date 4 2" xfId="399"/>
    <cellStyle name="Date 5" xfId="108"/>
    <cellStyle name="Date 5 2" xfId="400"/>
    <cellStyle name="Date 6" xfId="109"/>
    <cellStyle name="Date 6 2" xfId="401"/>
    <cellStyle name="Date 7" xfId="402"/>
    <cellStyle name="Explanatory Text 2" xfId="403"/>
    <cellStyle name="Fixed" xfId="110"/>
    <cellStyle name="Fixed 2" xfId="111"/>
    <cellStyle name="Fixed 2 2" xfId="112"/>
    <cellStyle name="Fixed 2 2 2" xfId="404"/>
    <cellStyle name="Fixed 2 3" xfId="113"/>
    <cellStyle name="Fixed 2 3 2" xfId="405"/>
    <cellStyle name="Fixed 2 4" xfId="114"/>
    <cellStyle name="Fixed 2 4 2" xfId="406"/>
    <cellStyle name="Fixed 2 5" xfId="407"/>
    <cellStyle name="Fixed 3" xfId="115"/>
    <cellStyle name="Fixed 3 2" xfId="116"/>
    <cellStyle name="Fixed 3 2 2" xfId="117"/>
    <cellStyle name="Fixed 3 2 2 2" xfId="408"/>
    <cellStyle name="Fixed 3 2 3" xfId="409"/>
    <cellStyle name="Fixed 3 3" xfId="118"/>
    <cellStyle name="Fixed 3 3 2" xfId="410"/>
    <cellStyle name="Fixed 3 4" xfId="119"/>
    <cellStyle name="Fixed 3 4 2" xfId="411"/>
    <cellStyle name="Fixed 3 5" xfId="412"/>
    <cellStyle name="Fixed 4" xfId="120"/>
    <cellStyle name="Fixed 4 2" xfId="413"/>
    <cellStyle name="Fixed 5" xfId="121"/>
    <cellStyle name="Fixed 5 2" xfId="414"/>
    <cellStyle name="Fixed 6" xfId="122"/>
    <cellStyle name="Fixed 6 2" xfId="415"/>
    <cellStyle name="Fixed 7" xfId="416"/>
    <cellStyle name="Fixed 7 2" xfId="417"/>
    <cellStyle name="Fixed 8" xfId="418"/>
    <cellStyle name="Fixed2 - Style2" xfId="123"/>
    <cellStyle name="Good 2" xfId="419"/>
    <cellStyle name="Heading 1 2" xfId="124"/>
    <cellStyle name="Heading 1 2 2" xfId="125"/>
    <cellStyle name="Heading 1 3" xfId="126"/>
    <cellStyle name="Heading 1 4" xfId="127"/>
    <cellStyle name="Heading 1 5" xfId="128"/>
    <cellStyle name="Heading 1 6" xfId="420"/>
    <cellStyle name="Heading 1 6 2" xfId="421"/>
    <cellStyle name="Heading 1 6 2 2" xfId="422"/>
    <cellStyle name="Heading 1 6 3" xfId="423"/>
    <cellStyle name="Heading 2 2" xfId="129"/>
    <cellStyle name="Heading 2 2 2" xfId="130"/>
    <cellStyle name="Heading 2 3" xfId="131"/>
    <cellStyle name="Heading 2 3 2" xfId="132"/>
    <cellStyle name="Heading 2 4" xfId="133"/>
    <cellStyle name="Heading 2 5" xfId="134"/>
    <cellStyle name="Heading 2 6" xfId="135"/>
    <cellStyle name="Heading 2 7" xfId="424"/>
    <cellStyle name="Heading 2 7 2" xfId="425"/>
    <cellStyle name="Heading 2 7 2 2" xfId="426"/>
    <cellStyle name="Heading 2 7 3" xfId="427"/>
    <cellStyle name="Heading 3 2" xfId="428"/>
    <cellStyle name="Heading 3 2 2" xfId="429"/>
    <cellStyle name="Heading 3 2 2 2" xfId="430"/>
    <cellStyle name="Heading 3 2 2 2 2" xfId="310"/>
    <cellStyle name="Heading 3 2 2 3" xfId="308"/>
    <cellStyle name="Heading 3 2 3" xfId="431"/>
    <cellStyle name="Heading 3 2 3 2" xfId="311"/>
    <cellStyle name="Heading 3 2 4" xfId="306"/>
    <cellStyle name="Heading 4 2" xfId="432"/>
    <cellStyle name="Heading 4 2 2" xfId="433"/>
    <cellStyle name="Heading 4 2 2 2" xfId="434"/>
    <cellStyle name="Heading 4 2 3" xfId="435"/>
    <cellStyle name="HEADING1" xfId="136"/>
    <cellStyle name="HEADING1 2" xfId="137"/>
    <cellStyle name="HEADING1 2 2" xfId="138"/>
    <cellStyle name="HEADING1 2 2 2" xfId="436"/>
    <cellStyle name="HEADING1 2 3" xfId="139"/>
    <cellStyle name="HEADING1 2 3 2" xfId="437"/>
    <cellStyle name="HEADING1 2 4" xfId="140"/>
    <cellStyle name="HEADING1 2 4 2" xfId="438"/>
    <cellStyle name="HEADING1 2 5" xfId="439"/>
    <cellStyle name="HEADING1 3" xfId="141"/>
    <cellStyle name="HEADING1 3 2" xfId="142"/>
    <cellStyle name="HEADING1 3 2 2" xfId="143"/>
    <cellStyle name="HEADING1 3 2 2 2" xfId="440"/>
    <cellStyle name="HEADING1 3 2 3" xfId="441"/>
    <cellStyle name="HEADING1 3 3" xfId="144"/>
    <cellStyle name="HEADING1 3 3 2" xfId="442"/>
    <cellStyle name="HEADING1 3 4" xfId="145"/>
    <cellStyle name="HEADING1 3 4 2" xfId="443"/>
    <cellStyle name="HEADING1 3 5" xfId="444"/>
    <cellStyle name="HEADING1 4" xfId="146"/>
    <cellStyle name="HEADING1 4 2" xfId="445"/>
    <cellStyle name="HEADING1 5" xfId="147"/>
    <cellStyle name="HEADING1 5 2" xfId="446"/>
    <cellStyle name="HEADING1 6" xfId="148"/>
    <cellStyle name="HEADING1 6 2" xfId="447"/>
    <cellStyle name="HEADING1 7" xfId="448"/>
    <cellStyle name="HEADING2" xfId="149"/>
    <cellStyle name="HEADING2 2" xfId="150"/>
    <cellStyle name="HEADING2 2 2" xfId="151"/>
    <cellStyle name="Hyperlink 2" xfId="449"/>
    <cellStyle name="Input 2" xfId="450"/>
    <cellStyle name="Linked Cell 2" xfId="451"/>
    <cellStyle name="Neutral 2" xfId="452"/>
    <cellStyle name="Normal" xfId="0" builtinId="0"/>
    <cellStyle name="Normal 10" xfId="453"/>
    <cellStyle name="Normal 10 2" xfId="454"/>
    <cellStyle name="Normal 10 3" xfId="455"/>
    <cellStyle name="Normal 11" xfId="456"/>
    <cellStyle name="Normal 11 2" xfId="457"/>
    <cellStyle name="Normal 12" xfId="458"/>
    <cellStyle name="Normal 2" xfId="152"/>
    <cellStyle name="Normal 2 10" xfId="459"/>
    <cellStyle name="Normal 2 11" xfId="538"/>
    <cellStyle name="Normal 2 2" xfId="153"/>
    <cellStyle name="Normal 2 2 2" xfId="154"/>
    <cellStyle name="Normal 2 2 2 2" xfId="155"/>
    <cellStyle name="Normal 2 2 3" xfId="156"/>
    <cellStyle name="Normal 2 3" xfId="157"/>
    <cellStyle name="Normal 2 3 2" xfId="158"/>
    <cellStyle name="Normal 2 4" xfId="159"/>
    <cellStyle name="Normal 2 4 2" xfId="160"/>
    <cellStyle name="Normal 2 5" xfId="161"/>
    <cellStyle name="Normal 2 5 2" xfId="162"/>
    <cellStyle name="Normal 2 6" xfId="163"/>
    <cellStyle name="Normal 2 6 2" xfId="460"/>
    <cellStyle name="Normal 2 7" xfId="164"/>
    <cellStyle name="Normal 2 8" xfId="461"/>
    <cellStyle name="Normal 2 8 2" xfId="462"/>
    <cellStyle name="Normal 2 9" xfId="463"/>
    <cellStyle name="Normal 3" xfId="165"/>
    <cellStyle name="Normal 3 2" xfId="166"/>
    <cellStyle name="Normal 3 2 2" xfId="465"/>
    <cellStyle name="Normal 3 2 3" xfId="464"/>
    <cellStyle name="Normal 3 3" xfId="167"/>
    <cellStyle name="Normal 3 3 2" xfId="466"/>
    <cellStyle name="Normal 3 4" xfId="168"/>
    <cellStyle name="Normal 3 4 2" xfId="468"/>
    <cellStyle name="Normal 3 4 3" xfId="469"/>
    <cellStyle name="Normal 3 5" xfId="470"/>
    <cellStyle name="Normal 3 6" xfId="471"/>
    <cellStyle name="Normal 3 7" xfId="472"/>
    <cellStyle name="Normal 4" xfId="169"/>
    <cellStyle name="Normal 4 2" xfId="170"/>
    <cellStyle name="Normal 4 3" xfId="475"/>
    <cellStyle name="Normal 4 4" xfId="473"/>
    <cellStyle name="Normal 5" xfId="171"/>
    <cellStyle name="Normal 5 2" xfId="477"/>
    <cellStyle name="Normal 5 2 2" xfId="478"/>
    <cellStyle name="Normal 5 3" xfId="479"/>
    <cellStyle name="Normal 5 4" xfId="476"/>
    <cellStyle name="Normal 6" xfId="172"/>
    <cellStyle name="Normal 7" xfId="173"/>
    <cellStyle name="Normal 7 2" xfId="481"/>
    <cellStyle name="Normal 8" xfId="174"/>
    <cellStyle name="Normal 8 2" xfId="482"/>
    <cellStyle name="Normal 8 3" xfId="483"/>
    <cellStyle name="Normal 9" xfId="484"/>
    <cellStyle name="Normal 9 2" xfId="485"/>
    <cellStyle name="Note 2" xfId="486"/>
    <cellStyle name="Note 2 2" xfId="487"/>
    <cellStyle name="Output 2" xfId="488"/>
    <cellStyle name="Percen - Style1" xfId="175"/>
    <cellStyle name="Percent" xfId="541" builtinId="5"/>
    <cellStyle name="Percent 10" xfId="489"/>
    <cellStyle name="Percent 11" xfId="490"/>
    <cellStyle name="Percent 12" xfId="491"/>
    <cellStyle name="Percent 12 2" xfId="492"/>
    <cellStyle name="Percent 13" xfId="493"/>
    <cellStyle name="Percent 14" xfId="539"/>
    <cellStyle name="Percent 2" xfId="176"/>
    <cellStyle name="Percent 2 2" xfId="177"/>
    <cellStyle name="Percent 2 2 2" xfId="494"/>
    <cellStyle name="Percent 2 3" xfId="178"/>
    <cellStyle name="Percent 2 3 2" xfId="495"/>
    <cellStyle name="Percent 2 4" xfId="179"/>
    <cellStyle name="Percent 2 4 2" xfId="496"/>
    <cellStyle name="Percent 3" xfId="180"/>
    <cellStyle name="Percent 3 2" xfId="181"/>
    <cellStyle name="Percent 3 2 2" xfId="182"/>
    <cellStyle name="Percent 3 2 2 2" xfId="497"/>
    <cellStyle name="Percent 3 2 3" xfId="498"/>
    <cellStyle name="Percent 3 3" xfId="183"/>
    <cellStyle name="Percent 3 3 2" xfId="499"/>
    <cellStyle name="Percent 3 4" xfId="184"/>
    <cellStyle name="Percent 3 4 2" xfId="500"/>
    <cellStyle name="Percent 3 5" xfId="501"/>
    <cellStyle name="Percent 4" xfId="185"/>
    <cellStyle name="Percent 4 2" xfId="502"/>
    <cellStyle name="Percent 5" xfId="186"/>
    <cellStyle name="Percent 5 2" xfId="187"/>
    <cellStyle name="Percent 5 2 2" xfId="503"/>
    <cellStyle name="Percent 5 3" xfId="504"/>
    <cellStyle name="Percent 6" xfId="188"/>
    <cellStyle name="Percent 6 2" xfId="505"/>
    <cellStyle name="Percent 7" xfId="189"/>
    <cellStyle name="Percent 7 2" xfId="506"/>
    <cellStyle name="Percent 7 3" xfId="507"/>
    <cellStyle name="Percent 8" xfId="508"/>
    <cellStyle name="Percent 8 2" xfId="509"/>
    <cellStyle name="Percent 8 2 2" xfId="510"/>
    <cellStyle name="Percent 8 3" xfId="511"/>
    <cellStyle name="Percent 9" xfId="512"/>
    <cellStyle name="Percent 9 2" xfId="513"/>
    <cellStyle name="PSChar" xfId="190"/>
    <cellStyle name="PSChar 2" xfId="191"/>
    <cellStyle name="PSChar 2 2" xfId="192"/>
    <cellStyle name="PSDec" xfId="193"/>
    <cellStyle name="PSDec 2" xfId="194"/>
    <cellStyle name="PSDec 2 2" xfId="195"/>
    <cellStyle name="PSHeading" xfId="196"/>
    <cellStyle name="PSHeading 2" xfId="197"/>
    <cellStyle name="PSHeading 2 2" xfId="198"/>
    <cellStyle name="PSHeading 2 2 2" xfId="480"/>
    <cellStyle name="PSHeading 2 3" xfId="474"/>
    <cellStyle name="PSHeading 3" xfId="467"/>
    <cellStyle name="Style 1" xfId="199"/>
    <cellStyle name="Style 1 2" xfId="200"/>
    <cellStyle name="Style 1 2 2" xfId="514"/>
    <cellStyle name="Style 1 3" xfId="515"/>
    <cellStyle name="Style 1 4" xfId="516"/>
    <cellStyle name="Style 1 5" xfId="517"/>
    <cellStyle name="Title 2" xfId="518"/>
    <cellStyle name="Title 2 2" xfId="519"/>
    <cellStyle name="Title 2 2 2" xfId="520"/>
    <cellStyle name="Title 2 3" xfId="521"/>
    <cellStyle name="Total 2" xfId="201"/>
    <cellStyle name="Total 2 2" xfId="202"/>
    <cellStyle name="Total 2 2 2" xfId="522"/>
    <cellStyle name="Total 2 3" xfId="203"/>
    <cellStyle name="Total 2 3 2" xfId="523"/>
    <cellStyle name="Total 2 4" xfId="204"/>
    <cellStyle name="Total 2 4 2" xfId="524"/>
    <cellStyle name="Total 2 5" xfId="525"/>
    <cellStyle name="Total 3" xfId="205"/>
    <cellStyle name="Total 3 2" xfId="206"/>
    <cellStyle name="Total 3 2 2" xfId="207"/>
    <cellStyle name="Total 3 2 2 2" xfId="526"/>
    <cellStyle name="Total 3 2 3" xfId="527"/>
    <cellStyle name="Total 3 3" xfId="208"/>
    <cellStyle name="Total 3 3 2" xfId="528"/>
    <cellStyle name="Total 3 4" xfId="209"/>
    <cellStyle name="Total 3 4 2" xfId="529"/>
    <cellStyle name="Total 3 5" xfId="530"/>
    <cellStyle name="Total 4" xfId="210"/>
    <cellStyle name="Total 4 2" xfId="531"/>
    <cellStyle name="Total 5" xfId="211"/>
    <cellStyle name="Total 5 2" xfId="212"/>
    <cellStyle name="Total 5 2 2" xfId="532"/>
    <cellStyle name="Total 5 3" xfId="533"/>
    <cellStyle name="Total 6" xfId="213"/>
    <cellStyle name="Total 6 2" xfId="534"/>
    <cellStyle name="Total 7" xfId="214"/>
    <cellStyle name="Total 7 2" xfId="535"/>
    <cellStyle name="Total 8" xfId="536"/>
    <cellStyle name="Warning Text 2" xfId="5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="85" zoomScaleNormal="85" workbookViewId="0">
      <selection activeCell="Q18" sqref="Q18"/>
    </sheetView>
  </sheetViews>
  <sheetFormatPr defaultRowHeight="15" x14ac:dyDescent="0.25"/>
  <cols>
    <col min="1" max="1" width="9.140625" style="18"/>
    <col min="2" max="2" width="9.140625" style="49"/>
    <col min="3" max="4" width="9.140625" style="18" customWidth="1"/>
    <col min="5" max="5" width="12.42578125" style="18" customWidth="1"/>
    <col min="6" max="6" width="8.140625" style="18" customWidth="1"/>
    <col min="7" max="7" width="8.5703125" style="18" customWidth="1"/>
    <col min="8" max="9" width="9.140625" style="18" customWidth="1"/>
    <col min="10" max="10" width="14" style="18" customWidth="1"/>
    <col min="11" max="11" width="13.42578125" style="18" hidden="1" customWidth="1"/>
    <col min="12" max="12" width="13.85546875" style="18" customWidth="1"/>
    <col min="13" max="13" width="12.42578125" style="18" customWidth="1"/>
    <col min="14" max="15" width="11" style="18" bestFit="1" customWidth="1"/>
    <col min="16" max="16384" width="9.140625" style="18"/>
  </cols>
  <sheetData>
    <row r="1" spans="1:15" ht="21" x14ac:dyDescent="0.35">
      <c r="B1" s="74" t="s">
        <v>38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4" spans="1:15" x14ac:dyDescent="0.25">
      <c r="B4" s="49" t="s">
        <v>6</v>
      </c>
      <c r="L4" s="18" t="s">
        <v>7</v>
      </c>
      <c r="N4" s="18" t="s">
        <v>7</v>
      </c>
      <c r="O4" s="18" t="s">
        <v>7</v>
      </c>
    </row>
    <row r="5" spans="1:15" x14ac:dyDescent="0.25">
      <c r="B5" s="49" t="s">
        <v>9</v>
      </c>
      <c r="K5" s="18" t="s">
        <v>10</v>
      </c>
      <c r="L5" s="18" t="s">
        <v>11</v>
      </c>
      <c r="M5" s="18" t="s">
        <v>35</v>
      </c>
      <c r="N5" s="18" t="s">
        <v>12</v>
      </c>
      <c r="O5" s="18" t="s">
        <v>12</v>
      </c>
    </row>
    <row r="6" spans="1:15" x14ac:dyDescent="0.25">
      <c r="B6" s="49" t="s">
        <v>13</v>
      </c>
      <c r="D6" s="18" t="s">
        <v>14</v>
      </c>
      <c r="E6" s="18" t="s">
        <v>13</v>
      </c>
      <c r="G6" s="18" t="s">
        <v>15</v>
      </c>
      <c r="H6" s="18" t="s">
        <v>16</v>
      </c>
      <c r="I6" s="18" t="s">
        <v>17</v>
      </c>
      <c r="K6" s="18" t="s">
        <v>18</v>
      </c>
      <c r="L6" s="18" t="s">
        <v>18</v>
      </c>
      <c r="M6" s="18" t="s">
        <v>19</v>
      </c>
      <c r="N6" s="18" t="s">
        <v>35</v>
      </c>
      <c r="O6" s="18" t="s">
        <v>35</v>
      </c>
    </row>
    <row r="7" spans="1:15" x14ac:dyDescent="0.25">
      <c r="B7" s="49" t="s">
        <v>19</v>
      </c>
      <c r="C7" s="18" t="s">
        <v>20</v>
      </c>
      <c r="D7" s="18" t="s">
        <v>8</v>
      </c>
      <c r="E7" s="18" t="s">
        <v>19</v>
      </c>
      <c r="F7" s="18" t="s">
        <v>21</v>
      </c>
      <c r="G7" s="18" t="s">
        <v>22</v>
      </c>
      <c r="H7" s="18" t="s">
        <v>23</v>
      </c>
      <c r="I7" s="18" t="s">
        <v>22</v>
      </c>
      <c r="J7" s="18" t="s">
        <v>24</v>
      </c>
      <c r="K7" s="18" t="s">
        <v>25</v>
      </c>
      <c r="L7" s="5" t="s">
        <v>25</v>
      </c>
      <c r="M7" s="18" t="s">
        <v>18</v>
      </c>
      <c r="N7" s="18" t="s">
        <v>18</v>
      </c>
      <c r="O7" s="18" t="s">
        <v>18</v>
      </c>
    </row>
    <row r="8" spans="1:15" x14ac:dyDescent="0.25">
      <c r="B8" s="50" t="s">
        <v>26</v>
      </c>
      <c r="C8" s="8" t="s">
        <v>27</v>
      </c>
      <c r="D8" s="9" t="s">
        <v>28</v>
      </c>
      <c r="E8" s="9" t="s">
        <v>29</v>
      </c>
      <c r="F8" s="9" t="s">
        <v>30</v>
      </c>
      <c r="G8" s="9" t="s">
        <v>30</v>
      </c>
      <c r="H8" s="9" t="s">
        <v>31</v>
      </c>
      <c r="I8" s="9" t="s">
        <v>30</v>
      </c>
      <c r="J8" s="8" t="s">
        <v>11</v>
      </c>
      <c r="K8" s="9" t="s">
        <v>29</v>
      </c>
      <c r="L8" s="9" t="s">
        <v>29</v>
      </c>
      <c r="M8" s="9" t="s">
        <v>29</v>
      </c>
      <c r="N8" s="9" t="s">
        <v>29</v>
      </c>
      <c r="O8" s="9" t="s">
        <v>30</v>
      </c>
    </row>
    <row r="9" spans="1:15" x14ac:dyDescent="0.25">
      <c r="A9" s="18">
        <f>'Solar Prices'!B9</f>
        <v>2022</v>
      </c>
      <c r="B9" s="51">
        <v>1181.8841956235528</v>
      </c>
      <c r="C9" s="18">
        <v>1</v>
      </c>
      <c r="D9" s="4">
        <f>'Solar Prices'!$C$43</f>
        <v>150</v>
      </c>
      <c r="E9" s="3">
        <f>D9*C9*B9</f>
        <v>177282.62934353293</v>
      </c>
      <c r="F9" s="10">
        <f>KPCo!$J$10/100</f>
        <v>7.0699999999999999E-2</v>
      </c>
      <c r="G9" s="10">
        <v>2.5000000000000001E-2</v>
      </c>
      <c r="H9" s="18">
        <v>30</v>
      </c>
      <c r="I9" s="2">
        <v>0.26</v>
      </c>
      <c r="J9" s="18" t="s">
        <v>7</v>
      </c>
      <c r="K9" s="3">
        <f t="shared" ref="K9:K30" si="0">F9/(1-(1/(1+F9))^H9)*E9</f>
        <v>14387.161950250067</v>
      </c>
      <c r="L9" s="3">
        <f t="shared" ref="L9:L36" si="1">E9*$E$41</f>
        <v>13168.227321720022</v>
      </c>
      <c r="M9" s="11">
        <f>'Solar Prices'!F9</f>
        <v>13168.22732172</v>
      </c>
      <c r="N9" s="6">
        <f>L9-M9</f>
        <v>2.1827872842550278E-11</v>
      </c>
      <c r="O9" s="6">
        <f t="shared" ref="O9:O30" si="2">N9/M9*100</f>
        <v>1.6576166487152635E-13</v>
      </c>
    </row>
    <row r="10" spans="1:15" x14ac:dyDescent="0.25">
      <c r="A10" s="18">
        <f>'Solar Prices'!B10</f>
        <v>2023</v>
      </c>
      <c r="B10" s="51">
        <f>B9*'Solar Prices'!I10</f>
        <v>1098.4586418743602</v>
      </c>
      <c r="C10" s="18">
        <v>1</v>
      </c>
      <c r="D10" s="4">
        <f>'Solar Prices'!$C$43</f>
        <v>150</v>
      </c>
      <c r="E10" s="3">
        <f t="shared" ref="E10:E30" si="3">D10*C10*B10</f>
        <v>164768.79628115403</v>
      </c>
      <c r="F10" s="10">
        <f>F9</f>
        <v>7.0699999999999999E-2</v>
      </c>
      <c r="G10" s="10">
        <v>2.5000000000000001E-2</v>
      </c>
      <c r="H10" s="18">
        <v>30</v>
      </c>
      <c r="I10" s="2">
        <v>0.26</v>
      </c>
      <c r="J10" s="18" t="s">
        <v>7</v>
      </c>
      <c r="K10" s="3">
        <f t="shared" si="0"/>
        <v>13371.616639615231</v>
      </c>
      <c r="L10" s="3">
        <f t="shared" si="1"/>
        <v>12238.72284042002</v>
      </c>
      <c r="M10" s="11">
        <f>'Solar Prices'!F10</f>
        <v>12238.72284042</v>
      </c>
      <c r="N10" s="6">
        <f t="shared" ref="N10:N30" si="4">L10-M10</f>
        <v>2.0008883439004421E-11</v>
      </c>
      <c r="O10" s="6">
        <f t="shared" si="2"/>
        <v>1.6348832880602901E-13</v>
      </c>
    </row>
    <row r="11" spans="1:15" x14ac:dyDescent="0.25">
      <c r="A11" s="18">
        <f>'Solar Prices'!B11</f>
        <v>2024</v>
      </c>
      <c r="B11" s="51">
        <f>B10*'Solar Prices'!I11</f>
        <v>1046.3049475033258</v>
      </c>
      <c r="C11" s="18">
        <v>1</v>
      </c>
      <c r="D11" s="4">
        <f>'Solar Prices'!$C$43</f>
        <v>150</v>
      </c>
      <c r="E11" s="3">
        <f t="shared" si="3"/>
        <v>156945.74212549889</v>
      </c>
      <c r="F11" s="10">
        <f t="shared" ref="F11:F37" si="5">F10</f>
        <v>7.0699999999999999E-2</v>
      </c>
      <c r="G11" s="10">
        <v>2.5000000000000001E-2</v>
      </c>
      <c r="H11" s="18">
        <v>30</v>
      </c>
      <c r="I11" s="2">
        <v>0.26</v>
      </c>
      <c r="J11" s="18" t="s">
        <v>7</v>
      </c>
      <c r="K11" s="3">
        <f t="shared" si="0"/>
        <v>12736.745939086029</v>
      </c>
      <c r="L11" s="3">
        <f t="shared" si="1"/>
        <v>11657.640780360021</v>
      </c>
      <c r="M11" s="11">
        <f>'Solar Prices'!F11</f>
        <v>11657.64078036</v>
      </c>
      <c r="N11" s="6">
        <f t="shared" si="4"/>
        <v>2.1827872842550278E-11</v>
      </c>
      <c r="O11" s="6">
        <f t="shared" si="2"/>
        <v>1.8724091137998002E-13</v>
      </c>
    </row>
    <row r="12" spans="1:15" x14ac:dyDescent="0.25">
      <c r="A12" s="18">
        <f>'Solar Prices'!B12</f>
        <v>2025</v>
      </c>
      <c r="B12" s="51">
        <f>B11*'Solar Prices'!I12</f>
        <v>1139.4132418878853</v>
      </c>
      <c r="C12" s="18">
        <v>1</v>
      </c>
      <c r="D12" s="4">
        <f>'Solar Prices'!$C$43</f>
        <v>150</v>
      </c>
      <c r="E12" s="3">
        <f t="shared" si="3"/>
        <v>170911.98628318281</v>
      </c>
      <c r="F12" s="10">
        <f t="shared" si="5"/>
        <v>7.0699999999999999E-2</v>
      </c>
      <c r="G12" s="10">
        <v>2.5000000000000001E-2</v>
      </c>
      <c r="H12" s="18">
        <v>30</v>
      </c>
      <c r="I12" s="2">
        <v>0.26</v>
      </c>
      <c r="J12" s="18" t="s">
        <v>7</v>
      </c>
      <c r="K12" s="3">
        <f t="shared" si="0"/>
        <v>13870.159953066877</v>
      </c>
      <c r="L12" s="3">
        <f t="shared" si="1"/>
        <v>12695.027683860022</v>
      </c>
      <c r="M12" s="11">
        <f>'Solar Prices'!F12</f>
        <v>12695.02768386</v>
      </c>
      <c r="N12" s="6">
        <f t="shared" si="4"/>
        <v>2.1827872842550278E-11</v>
      </c>
      <c r="O12" s="6">
        <f t="shared" si="2"/>
        <v>1.7194033275170756E-13</v>
      </c>
    </row>
    <row r="13" spans="1:15" x14ac:dyDescent="0.25">
      <c r="A13" s="18">
        <f>'Solar Prices'!B13</f>
        <v>2026</v>
      </c>
      <c r="B13" s="51">
        <f>B12*'Solar Prices'!I13</f>
        <v>1173.3576420775303</v>
      </c>
      <c r="C13" s="18">
        <v>1</v>
      </c>
      <c r="D13" s="4">
        <f>'Solar Prices'!$C$43</f>
        <v>150</v>
      </c>
      <c r="E13" s="3">
        <f t="shared" si="3"/>
        <v>176003.64631162953</v>
      </c>
      <c r="F13" s="10">
        <f t="shared" si="5"/>
        <v>7.0699999999999999E-2</v>
      </c>
      <c r="G13" s="10">
        <v>2.5000000000000001E-2</v>
      </c>
      <c r="H13" s="18">
        <v>30</v>
      </c>
      <c r="I13" s="2">
        <v>0.26</v>
      </c>
      <c r="J13" s="18" t="s">
        <v>7</v>
      </c>
      <c r="K13" s="3">
        <f t="shared" si="0"/>
        <v>14283.36759611761</v>
      </c>
      <c r="L13" s="3">
        <f t="shared" si="1"/>
        <v>13073.226816780021</v>
      </c>
      <c r="M13" s="11">
        <f>'Solar Prices'!F13</f>
        <v>13073.226816780001</v>
      </c>
      <c r="N13" s="6">
        <f t="shared" si="4"/>
        <v>2.0008883439004421E-11</v>
      </c>
      <c r="O13" s="6">
        <f t="shared" si="2"/>
        <v>1.5305236969745092E-13</v>
      </c>
    </row>
    <row r="14" spans="1:15" x14ac:dyDescent="0.25">
      <c r="A14" s="18">
        <f>'Solar Prices'!B14</f>
        <v>2027</v>
      </c>
      <c r="B14" s="51">
        <f>B13*'Solar Prices'!I14</f>
        <v>1165.2486730333023</v>
      </c>
      <c r="C14" s="18">
        <v>1</v>
      </c>
      <c r="D14" s="4">
        <f>'Solar Prices'!$C$43</f>
        <v>150</v>
      </c>
      <c r="E14" s="3">
        <f t="shared" si="3"/>
        <v>174787.30095499536</v>
      </c>
      <c r="F14" s="10">
        <f t="shared" si="5"/>
        <v>7.0699999999999999E-2</v>
      </c>
      <c r="G14" s="10">
        <v>2.5000000000000001E-2</v>
      </c>
      <c r="H14" s="18">
        <v>30</v>
      </c>
      <c r="I14" s="2">
        <v>0.26</v>
      </c>
      <c r="J14" s="18" t="s">
        <v>7</v>
      </c>
      <c r="K14" s="3">
        <f t="shared" si="0"/>
        <v>14184.656528382822</v>
      </c>
      <c r="L14" s="3">
        <f t="shared" si="1"/>
        <v>12982.878923040022</v>
      </c>
      <c r="M14" s="11">
        <f>'Solar Prices'!F14</f>
        <v>12982.87892304</v>
      </c>
      <c r="N14" s="6">
        <f t="shared" si="4"/>
        <v>2.1827872842550278E-11</v>
      </c>
      <c r="O14" s="6">
        <f t="shared" si="2"/>
        <v>1.6812813992906885E-13</v>
      </c>
    </row>
    <row r="15" spans="1:15" x14ac:dyDescent="0.25">
      <c r="A15" s="18">
        <f>'Solar Prices'!B15</f>
        <v>2028</v>
      </c>
      <c r="B15" s="51">
        <f>B14*'Solar Prices'!I15</f>
        <v>1166.1595292278423</v>
      </c>
      <c r="C15" s="18">
        <v>1</v>
      </c>
      <c r="D15" s="4">
        <f>'Solar Prices'!$C$43</f>
        <v>150</v>
      </c>
      <c r="E15" s="3">
        <f t="shared" si="3"/>
        <v>174923.92938417636</v>
      </c>
      <c r="F15" s="10">
        <f t="shared" si="5"/>
        <v>7.0699999999999999E-2</v>
      </c>
      <c r="G15" s="10">
        <v>2.5000000000000001E-2</v>
      </c>
      <c r="H15" s="18">
        <v>30</v>
      </c>
      <c r="I15" s="2">
        <v>0.26</v>
      </c>
      <c r="J15" s="18" t="s">
        <v>7</v>
      </c>
      <c r="K15" s="3">
        <f t="shared" si="0"/>
        <v>14195.744446837745</v>
      </c>
      <c r="L15" s="3">
        <f t="shared" si="1"/>
        <v>12993.027431220022</v>
      </c>
      <c r="M15" s="11">
        <f>'Solar Prices'!F15</f>
        <v>12993.02743122</v>
      </c>
      <c r="N15" s="6">
        <f t="shared" si="4"/>
        <v>2.1827872842550278E-11</v>
      </c>
      <c r="O15" s="6">
        <f t="shared" si="2"/>
        <v>1.6799681951029881E-13</v>
      </c>
    </row>
    <row r="16" spans="1:15" x14ac:dyDescent="0.25">
      <c r="A16" s="18">
        <f>'Solar Prices'!B16</f>
        <v>2029</v>
      </c>
      <c r="B16" s="51">
        <f>B15*'Solar Prices'!I16</f>
        <v>1162.6596491221749</v>
      </c>
      <c r="C16" s="18">
        <v>1</v>
      </c>
      <c r="D16" s="4">
        <f>'Solar Prices'!$C$43</f>
        <v>150</v>
      </c>
      <c r="E16" s="3">
        <f t="shared" si="3"/>
        <v>174398.94736832622</v>
      </c>
      <c r="F16" s="10">
        <f t="shared" si="5"/>
        <v>7.0699999999999999E-2</v>
      </c>
      <c r="G16" s="10">
        <v>2.5000000000000001E-2</v>
      </c>
      <c r="H16" s="18">
        <v>30</v>
      </c>
      <c r="I16" s="2">
        <v>0.26</v>
      </c>
      <c r="J16" s="18" t="s">
        <v>7</v>
      </c>
      <c r="K16" s="3">
        <f t="shared" si="0"/>
        <v>14153.14015271726</v>
      </c>
      <c r="L16" s="3">
        <f t="shared" si="1"/>
        <v>12954.032733600023</v>
      </c>
      <c r="M16" s="11">
        <f>'Solar Prices'!F16</f>
        <v>12954.032733600001</v>
      </c>
      <c r="N16" s="6">
        <f t="shared" si="4"/>
        <v>2.1827872842550278E-11</v>
      </c>
      <c r="O16" s="6">
        <f t="shared" si="2"/>
        <v>1.6850252960943527E-13</v>
      </c>
    </row>
    <row r="17" spans="1:15" x14ac:dyDescent="0.25">
      <c r="A17" s="18">
        <f>'Solar Prices'!B17</f>
        <v>2030</v>
      </c>
      <c r="B17" s="51">
        <f>B16*'Solar Prices'!I17</f>
        <v>1161.1954934627568</v>
      </c>
      <c r="C17" s="18">
        <v>1</v>
      </c>
      <c r="D17" s="4">
        <f>'Solar Prices'!$C$43</f>
        <v>150</v>
      </c>
      <c r="E17" s="3">
        <f t="shared" si="3"/>
        <v>174179.3240194135</v>
      </c>
      <c r="F17" s="10">
        <f t="shared" si="5"/>
        <v>7.0699999999999999E-2</v>
      </c>
      <c r="G17" s="10">
        <v>2.5000000000000001E-2</v>
      </c>
      <c r="H17" s="18">
        <v>30</v>
      </c>
      <c r="I17" s="2">
        <v>0.26</v>
      </c>
      <c r="J17" s="18" t="s">
        <v>7</v>
      </c>
      <c r="K17" s="3">
        <f t="shared" si="0"/>
        <v>14135.316879785423</v>
      </c>
      <c r="L17" s="3">
        <f t="shared" si="1"/>
        <v>12937.719515580022</v>
      </c>
      <c r="M17" s="11">
        <f>'Solar Prices'!F17</f>
        <v>12937.719515580002</v>
      </c>
      <c r="N17" s="6">
        <f t="shared" si="4"/>
        <v>2.0008883439004421E-11</v>
      </c>
      <c r="O17" s="6">
        <f t="shared" si="2"/>
        <v>1.5465541214515514E-13</v>
      </c>
    </row>
    <row r="18" spans="1:15" x14ac:dyDescent="0.25">
      <c r="A18" s="18">
        <f>'Solar Prices'!B18</f>
        <v>2031</v>
      </c>
      <c r="B18" s="51">
        <f>B17*'Solar Prices'!I18</f>
        <v>1160.681342544922</v>
      </c>
      <c r="C18" s="18">
        <v>1</v>
      </c>
      <c r="D18" s="4">
        <f>'Solar Prices'!$C$43</f>
        <v>150</v>
      </c>
      <c r="E18" s="3">
        <f t="shared" si="3"/>
        <v>174102.2013817383</v>
      </c>
      <c r="F18" s="10">
        <f t="shared" si="5"/>
        <v>7.0699999999999999E-2</v>
      </c>
      <c r="G18" s="10">
        <v>2.5000000000000001E-2</v>
      </c>
      <c r="H18" s="18">
        <v>30</v>
      </c>
      <c r="I18" s="2">
        <v>0.26</v>
      </c>
      <c r="J18" s="18" t="s">
        <v>7</v>
      </c>
      <c r="K18" s="3">
        <f t="shared" si="0"/>
        <v>14129.058083408292</v>
      </c>
      <c r="L18" s="3">
        <f t="shared" si="1"/>
        <v>12931.990988040023</v>
      </c>
      <c r="M18" s="11">
        <f>'Solar Prices'!F18</f>
        <v>12931.990988040001</v>
      </c>
      <c r="N18" s="6">
        <f t="shared" si="4"/>
        <v>2.1827872842550278E-11</v>
      </c>
      <c r="O18" s="6">
        <f t="shared" si="2"/>
        <v>1.6878973131621827E-13</v>
      </c>
    </row>
    <row r="19" spans="1:15" x14ac:dyDescent="0.25">
      <c r="A19" s="18">
        <f>'Solar Prices'!B19</f>
        <v>2032</v>
      </c>
      <c r="B19" s="51">
        <f>B18*'Solar Prices'!I19</f>
        <v>1159.3581216548598</v>
      </c>
      <c r="C19" s="18">
        <v>1</v>
      </c>
      <c r="D19" s="4">
        <f>'Solar Prices'!$C$43</f>
        <v>150</v>
      </c>
      <c r="E19" s="3">
        <f t="shared" si="3"/>
        <v>173903.71824822898</v>
      </c>
      <c r="F19" s="10">
        <f t="shared" si="5"/>
        <v>7.0699999999999999E-2</v>
      </c>
      <c r="G19" s="10">
        <v>2.5000000000000001E-2</v>
      </c>
      <c r="H19" s="18">
        <v>30</v>
      </c>
      <c r="I19" s="2">
        <v>0.26</v>
      </c>
      <c r="J19" s="18" t="s">
        <v>7</v>
      </c>
      <c r="K19" s="3">
        <f t="shared" si="0"/>
        <v>14112.950419635672</v>
      </c>
      <c r="L19" s="3">
        <f t="shared" si="1"/>
        <v>12917.248026300025</v>
      </c>
      <c r="M19" s="11">
        <f>'Solar Prices'!F19</f>
        <v>12917.248026300002</v>
      </c>
      <c r="N19" s="6">
        <f t="shared" si="4"/>
        <v>2.3646862246096134E-11</v>
      </c>
      <c r="O19" s="6">
        <f t="shared" si="2"/>
        <v>1.8306424246054761E-13</v>
      </c>
    </row>
    <row r="20" spans="1:15" x14ac:dyDescent="0.25">
      <c r="A20" s="18">
        <f>'Solar Prices'!B20</f>
        <v>2033</v>
      </c>
      <c r="B20" s="51">
        <f>B19*'Solar Prices'!I20</f>
        <v>1158.6769369363071</v>
      </c>
      <c r="C20" s="18">
        <v>1</v>
      </c>
      <c r="D20" s="4">
        <f>'Solar Prices'!$C$43</f>
        <v>150</v>
      </c>
      <c r="E20" s="3">
        <f t="shared" si="3"/>
        <v>173801.54054044606</v>
      </c>
      <c r="F20" s="10">
        <f t="shared" si="5"/>
        <v>7.0699999999999999E-2</v>
      </c>
      <c r="G20" s="10">
        <v>2.5000000000000001E-2</v>
      </c>
      <c r="H20" s="18">
        <v>30</v>
      </c>
      <c r="I20" s="2">
        <v>0.26</v>
      </c>
      <c r="J20" s="18" t="s">
        <v>7</v>
      </c>
      <c r="K20" s="3">
        <f t="shared" si="0"/>
        <v>14104.658308699471</v>
      </c>
      <c r="L20" s="3">
        <f t="shared" si="1"/>
        <v>12909.658454280025</v>
      </c>
      <c r="M20" s="11">
        <f>'Solar Prices'!F20</f>
        <v>12909.658454280001</v>
      </c>
      <c r="N20" s="6">
        <f t="shared" si="4"/>
        <v>2.3646862246096134E-11</v>
      </c>
      <c r="O20" s="6">
        <f t="shared" si="2"/>
        <v>1.8317186569917641E-13</v>
      </c>
    </row>
    <row r="21" spans="1:15" x14ac:dyDescent="0.25">
      <c r="A21" s="18">
        <f>'Solar Prices'!B21</f>
        <v>2034</v>
      </c>
      <c r="B21" s="51">
        <f>B20*'Solar Prices'!I21</f>
        <v>1159.3790008799497</v>
      </c>
      <c r="C21" s="18">
        <v>1</v>
      </c>
      <c r="D21" s="4">
        <f>'Solar Prices'!$C$43</f>
        <v>150</v>
      </c>
      <c r="E21" s="3">
        <f t="shared" si="3"/>
        <v>173906.85013199245</v>
      </c>
      <c r="F21" s="10">
        <f t="shared" si="5"/>
        <v>7.0699999999999999E-2</v>
      </c>
      <c r="G21" s="10">
        <v>2.5000000000000001E-2</v>
      </c>
      <c r="H21" s="18">
        <v>30</v>
      </c>
      <c r="I21" s="2">
        <v>0.26</v>
      </c>
      <c r="J21" s="18" t="s">
        <v>7</v>
      </c>
      <c r="K21" s="3">
        <f t="shared" si="0"/>
        <v>14113.204583955558</v>
      </c>
      <c r="L21" s="3">
        <f t="shared" si="1"/>
        <v>12917.480656860027</v>
      </c>
      <c r="M21" s="11">
        <f>'Solar Prices'!F21</f>
        <v>12917.480656860002</v>
      </c>
      <c r="N21" s="6">
        <f t="shared" si="4"/>
        <v>2.5465851649641991E-11</v>
      </c>
      <c r="O21" s="6">
        <f t="shared" si="2"/>
        <v>1.9714255686628805E-13</v>
      </c>
    </row>
    <row r="22" spans="1:15" x14ac:dyDescent="0.25">
      <c r="A22" s="18">
        <f>'Solar Prices'!B22</f>
        <v>2035</v>
      </c>
      <c r="B22" s="51">
        <f>B21*'Solar Prices'!I22</f>
        <v>1160.0366964702764</v>
      </c>
      <c r="C22" s="18">
        <v>1</v>
      </c>
      <c r="D22" s="4">
        <f>'Solar Prices'!$C$43</f>
        <v>150</v>
      </c>
      <c r="E22" s="3">
        <f t="shared" si="3"/>
        <v>174005.50447054146</v>
      </c>
      <c r="F22" s="10">
        <f t="shared" si="5"/>
        <v>7.0699999999999999E-2</v>
      </c>
      <c r="G22" s="10">
        <v>2.5000000000000001E-2</v>
      </c>
      <c r="H22" s="18">
        <v>30</v>
      </c>
      <c r="I22" s="2">
        <v>0.26</v>
      </c>
      <c r="J22" s="18" t="s">
        <v>7</v>
      </c>
      <c r="K22" s="3">
        <f t="shared" si="0"/>
        <v>14121.210760031889</v>
      </c>
      <c r="L22" s="3">
        <f t="shared" si="1"/>
        <v>12924.808519500026</v>
      </c>
      <c r="M22" s="11">
        <f>'Solar Prices'!F22</f>
        <v>12924.8085195</v>
      </c>
      <c r="N22" s="6">
        <f t="shared" si="4"/>
        <v>2.5465851649641991E-11</v>
      </c>
      <c r="O22" s="6">
        <f t="shared" si="2"/>
        <v>1.9703078472087991E-13</v>
      </c>
    </row>
    <row r="23" spans="1:15" x14ac:dyDescent="0.25">
      <c r="A23" s="18">
        <f>'Solar Prices'!B23</f>
        <v>2036</v>
      </c>
      <c r="B23" s="51">
        <f>B22*'Solar Prices'!I23</f>
        <v>1160.081064823592</v>
      </c>
      <c r="C23" s="18">
        <v>1</v>
      </c>
      <c r="D23" s="4">
        <f>'Solar Prices'!$C$43</f>
        <v>150</v>
      </c>
      <c r="E23" s="3">
        <f t="shared" si="3"/>
        <v>174012.15972353879</v>
      </c>
      <c r="F23" s="10">
        <f t="shared" si="5"/>
        <v>7.0699999999999999E-2</v>
      </c>
      <c r="G23" s="10">
        <v>2.5000000000000001E-2</v>
      </c>
      <c r="H23" s="18">
        <v>30</v>
      </c>
      <c r="I23" s="2">
        <v>0.26</v>
      </c>
      <c r="J23" s="18" t="s">
        <v>7</v>
      </c>
      <c r="K23" s="3">
        <f t="shared" si="0"/>
        <v>14121.750859211639</v>
      </c>
      <c r="L23" s="3">
        <f t="shared" si="1"/>
        <v>12925.302859440024</v>
      </c>
      <c r="M23" s="11">
        <f>'Solar Prices'!F23</f>
        <v>12925.30285944</v>
      </c>
      <c r="N23" s="6">
        <f t="shared" si="4"/>
        <v>2.3646862246096134E-11</v>
      </c>
      <c r="O23" s="6">
        <f t="shared" si="2"/>
        <v>1.829501598782704E-13</v>
      </c>
    </row>
    <row r="24" spans="1:15" x14ac:dyDescent="0.25">
      <c r="A24" s="18">
        <f>'Solar Prices'!B24</f>
        <v>2037</v>
      </c>
      <c r="B24" s="51">
        <f>B23*'Solar Prices'!I24</f>
        <v>1159.2067472729593</v>
      </c>
      <c r="C24" s="18">
        <v>1</v>
      </c>
      <c r="D24" s="4">
        <f>'Solar Prices'!$C$43</f>
        <v>150</v>
      </c>
      <c r="E24" s="3">
        <f t="shared" si="3"/>
        <v>173881.0120909439</v>
      </c>
      <c r="F24" s="10">
        <f t="shared" si="5"/>
        <v>7.0699999999999999E-2</v>
      </c>
      <c r="G24" s="10">
        <v>2.5000000000000001E-2</v>
      </c>
      <c r="H24" s="18">
        <v>30</v>
      </c>
      <c r="I24" s="2">
        <v>0.26</v>
      </c>
      <c r="J24" s="18" t="s">
        <v>7</v>
      </c>
      <c r="K24" s="3">
        <f t="shared" si="0"/>
        <v>14111.107728316518</v>
      </c>
      <c r="L24" s="3">
        <f t="shared" si="1"/>
        <v>12915.561454740026</v>
      </c>
      <c r="M24" s="11">
        <f>'Solar Prices'!F24</f>
        <v>12915.561454740002</v>
      </c>
      <c r="N24" s="6">
        <f t="shared" si="4"/>
        <v>2.3646862246096134E-11</v>
      </c>
      <c r="O24" s="6">
        <f t="shared" si="2"/>
        <v>1.8308814780497019E-13</v>
      </c>
    </row>
    <row r="25" spans="1:15" x14ac:dyDescent="0.25">
      <c r="A25" s="18">
        <f>'Solar Prices'!B25</f>
        <v>2038</v>
      </c>
      <c r="B25" s="51">
        <f>B24*'Solar Prices'!I25</f>
        <v>1157.450282462285</v>
      </c>
      <c r="C25" s="18">
        <v>1</v>
      </c>
      <c r="D25" s="4">
        <f>'Solar Prices'!$C$43</f>
        <v>150</v>
      </c>
      <c r="E25" s="3">
        <f t="shared" si="3"/>
        <v>173617.54236934276</v>
      </c>
      <c r="F25" s="10">
        <f t="shared" si="5"/>
        <v>7.0699999999999999E-2</v>
      </c>
      <c r="G25" s="10">
        <v>2.5000000000000001E-2</v>
      </c>
      <c r="H25" s="18">
        <v>30</v>
      </c>
      <c r="I25" s="2">
        <v>0.26</v>
      </c>
      <c r="J25" s="18" t="s">
        <v>7</v>
      </c>
      <c r="K25" s="3">
        <f t="shared" si="0"/>
        <v>14089.726154906311</v>
      </c>
      <c r="L25" s="3">
        <f t="shared" si="1"/>
        <v>12895.991408880027</v>
      </c>
      <c r="M25" s="11">
        <f>'Solar Prices'!F25</f>
        <v>12895.991408880001</v>
      </c>
      <c r="N25" s="6">
        <f t="shared" si="4"/>
        <v>2.5465851649641991E-11</v>
      </c>
      <c r="O25" s="6">
        <f t="shared" si="2"/>
        <v>1.9747106556000463E-13</v>
      </c>
    </row>
    <row r="26" spans="1:15" x14ac:dyDescent="0.25">
      <c r="A26" s="18">
        <f>'Solar Prices'!B26</f>
        <v>2039</v>
      </c>
      <c r="B26" s="51">
        <f>B25*'Solar Prices'!I26</f>
        <v>1156.6203332649677</v>
      </c>
      <c r="C26" s="18">
        <v>1</v>
      </c>
      <c r="D26" s="4">
        <f>'Solar Prices'!$C$43</f>
        <v>150</v>
      </c>
      <c r="E26" s="3">
        <f t="shared" si="3"/>
        <v>173493.04998974517</v>
      </c>
      <c r="F26" s="10">
        <f t="shared" si="5"/>
        <v>7.0699999999999999E-2</v>
      </c>
      <c r="G26" s="10">
        <v>2.5000000000000001E-2</v>
      </c>
      <c r="H26" s="18">
        <v>30</v>
      </c>
      <c r="I26" s="2">
        <v>0.26</v>
      </c>
      <c r="J26" s="18" t="s">
        <v>7</v>
      </c>
      <c r="K26" s="3">
        <f t="shared" si="0"/>
        <v>14079.623123190939</v>
      </c>
      <c r="L26" s="3">
        <f t="shared" si="1"/>
        <v>12886.744344120027</v>
      </c>
      <c r="M26" s="11">
        <f>'Solar Prices'!F26</f>
        <v>12886.744344120001</v>
      </c>
      <c r="N26" s="6">
        <f t="shared" si="4"/>
        <v>2.5465851649641991E-11</v>
      </c>
      <c r="O26" s="6">
        <f t="shared" si="2"/>
        <v>1.9761276370211858E-13</v>
      </c>
    </row>
    <row r="27" spans="1:15" x14ac:dyDescent="0.25">
      <c r="A27" s="18">
        <f>'Solar Prices'!B27</f>
        <v>2040</v>
      </c>
      <c r="B27" s="51">
        <f>B26*'Solar Prices'!I27</f>
        <v>1155.5111244320753</v>
      </c>
      <c r="C27" s="18">
        <v>1</v>
      </c>
      <c r="D27" s="4">
        <f>'Solar Prices'!$C$43</f>
        <v>150</v>
      </c>
      <c r="E27" s="3">
        <f t="shared" si="3"/>
        <v>173326.6686648113</v>
      </c>
      <c r="F27" s="10">
        <f t="shared" si="5"/>
        <v>7.0699999999999999E-2</v>
      </c>
      <c r="G27" s="10">
        <v>2.5000000000000001E-2</v>
      </c>
      <c r="H27" s="18">
        <v>30</v>
      </c>
      <c r="I27" s="2">
        <v>0.26</v>
      </c>
      <c r="J27" s="18" t="s">
        <v>7</v>
      </c>
      <c r="K27" s="3">
        <f t="shared" si="0"/>
        <v>14066.120643697122</v>
      </c>
      <c r="L27" s="3">
        <f t="shared" si="1"/>
        <v>12874.385845620025</v>
      </c>
      <c r="M27" s="11">
        <f>'Solar Prices'!F27</f>
        <v>12874.385845620001</v>
      </c>
      <c r="N27" s="6">
        <f t="shared" si="4"/>
        <v>2.3646862246096134E-11</v>
      </c>
      <c r="O27" s="6">
        <f t="shared" si="2"/>
        <v>1.8367371096106337E-13</v>
      </c>
    </row>
    <row r="28" spans="1:15" x14ac:dyDescent="0.25">
      <c r="A28" s="18">
        <f>'Solar Prices'!B28</f>
        <v>2041</v>
      </c>
      <c r="B28" s="51">
        <f>B27*'Solar Prices'!I28</f>
        <v>1155.6076908481152</v>
      </c>
      <c r="C28" s="18">
        <v>1</v>
      </c>
      <c r="D28" s="4">
        <f>'Solar Prices'!$C$43</f>
        <v>150</v>
      </c>
      <c r="E28" s="3">
        <f t="shared" si="3"/>
        <v>173341.15362721728</v>
      </c>
      <c r="F28" s="10">
        <f t="shared" si="5"/>
        <v>7.0699999999999999E-2</v>
      </c>
      <c r="G28" s="10">
        <v>2.5000000000000001E-2</v>
      </c>
      <c r="H28" s="18">
        <v>30</v>
      </c>
      <c r="I28" s="2">
        <v>0.26</v>
      </c>
      <c r="J28" s="18" t="s">
        <v>7</v>
      </c>
      <c r="K28" s="3">
        <f t="shared" si="0"/>
        <v>14067.296153676583</v>
      </c>
      <c r="L28" s="3">
        <f t="shared" si="1"/>
        <v>12875.461761960025</v>
      </c>
      <c r="M28" s="11">
        <f>'Solar Prices'!F28</f>
        <v>12875.461761960001</v>
      </c>
      <c r="N28" s="6">
        <f t="shared" si="4"/>
        <v>2.3646862246096134E-11</v>
      </c>
      <c r="O28" s="6">
        <f t="shared" si="2"/>
        <v>1.8365836257585554E-13</v>
      </c>
    </row>
    <row r="29" spans="1:15" x14ac:dyDescent="0.25">
      <c r="A29" s="18">
        <f>'Solar Prices'!B29</f>
        <v>2042</v>
      </c>
      <c r="B29" s="51">
        <f>B28*'Solar Prices'!I29</f>
        <v>1156.1505507004485</v>
      </c>
      <c r="C29" s="18">
        <v>1</v>
      </c>
      <c r="D29" s="4">
        <f>'Solar Prices'!$C$43</f>
        <v>150</v>
      </c>
      <c r="E29" s="3">
        <f t="shared" si="3"/>
        <v>173422.58260506729</v>
      </c>
      <c r="F29" s="10">
        <f t="shared" si="5"/>
        <v>7.0699999999999999E-2</v>
      </c>
      <c r="G29" s="10">
        <v>2.5000000000000001E-2</v>
      </c>
      <c r="H29" s="18">
        <v>30</v>
      </c>
      <c r="I29" s="2">
        <v>0.26</v>
      </c>
      <c r="J29" s="18" t="s">
        <v>7</v>
      </c>
      <c r="K29" s="3">
        <f t="shared" si="0"/>
        <v>14073.904425993558</v>
      </c>
      <c r="L29" s="3">
        <f t="shared" si="1"/>
        <v>12881.510156520026</v>
      </c>
      <c r="M29" s="11">
        <f>'Solar Prices'!F29</f>
        <v>12881.51015652</v>
      </c>
      <c r="N29" s="6">
        <f t="shared" si="4"/>
        <v>2.5465851649641991E-11</v>
      </c>
      <c r="O29" s="6">
        <f t="shared" si="2"/>
        <v>1.9769306036491695E-13</v>
      </c>
    </row>
    <row r="30" spans="1:15" x14ac:dyDescent="0.25">
      <c r="A30" s="18">
        <f>'Solar Prices'!B30</f>
        <v>2043</v>
      </c>
      <c r="B30" s="51">
        <f>B29*'Solar Prices'!I30</f>
        <v>1157.5729479096872</v>
      </c>
      <c r="C30" s="18">
        <v>1</v>
      </c>
      <c r="D30" s="4">
        <f>'Solar Prices'!$C$43</f>
        <v>150</v>
      </c>
      <c r="E30" s="3">
        <f t="shared" si="3"/>
        <v>173635.94218645309</v>
      </c>
      <c r="F30" s="10">
        <f t="shared" si="5"/>
        <v>7.0699999999999999E-2</v>
      </c>
      <c r="G30" s="10">
        <v>2.5000000000000001E-2</v>
      </c>
      <c r="H30" s="18">
        <v>30</v>
      </c>
      <c r="I30" s="2">
        <v>0.26</v>
      </c>
      <c r="J30" s="18" t="s">
        <v>7</v>
      </c>
      <c r="K30" s="3">
        <f t="shared" si="0"/>
        <v>14091.219370285628</v>
      </c>
      <c r="L30" s="3">
        <f t="shared" si="1"/>
        <v>12897.358113420027</v>
      </c>
      <c r="M30" s="11">
        <f>'Solar Prices'!F30</f>
        <v>12897.358113419999</v>
      </c>
      <c r="N30" s="6">
        <f t="shared" si="4"/>
        <v>2.7284841053187847E-11</v>
      </c>
      <c r="O30" s="6">
        <f t="shared" si="2"/>
        <v>2.1155372141522023E-13</v>
      </c>
    </row>
    <row r="31" spans="1:15" x14ac:dyDescent="0.25">
      <c r="A31" s="18">
        <f>'Solar Prices'!B31</f>
        <v>2044</v>
      </c>
      <c r="B31" s="51">
        <f>B30*'Solar Prices'!I31</f>
        <v>1158.2932811752833</v>
      </c>
      <c r="C31" s="18">
        <v>1</v>
      </c>
      <c r="D31" s="4">
        <f>'Solar Prices'!$C$43</f>
        <v>150</v>
      </c>
      <c r="E31" s="3">
        <f t="shared" ref="E31:E36" si="6">D31*C31*B31</f>
        <v>173743.99217629249</v>
      </c>
      <c r="F31" s="10">
        <f t="shared" si="5"/>
        <v>7.0699999999999999E-2</v>
      </c>
      <c r="G31" s="10">
        <v>2.5000000000000001E-2</v>
      </c>
      <c r="H31" s="18">
        <v>30</v>
      </c>
      <c r="I31" s="2">
        <v>0.26</v>
      </c>
      <c r="J31" s="18" t="s">
        <v>7</v>
      </c>
      <c r="K31" s="3">
        <f t="shared" ref="K31:K36" si="7">F31/(1-(1/(1+F31))^H31)*E31</f>
        <v>14099.988039321612</v>
      </c>
      <c r="L31" s="3">
        <f t="shared" si="1"/>
        <v>12905.383867740027</v>
      </c>
      <c r="M31" s="11">
        <f>'Solar Prices'!F31</f>
        <v>12905.383867740002</v>
      </c>
      <c r="N31" s="6">
        <f t="shared" ref="N31:N36" si="8">L31-M31</f>
        <v>2.5465851649641991E-11</v>
      </c>
      <c r="O31" s="6">
        <f t="shared" ref="O31:O36" si="9">N31/M31*100</f>
        <v>1.9732734733524502E-13</v>
      </c>
    </row>
    <row r="32" spans="1:15" x14ac:dyDescent="0.25">
      <c r="A32" s="18">
        <f>'Solar Prices'!B32</f>
        <v>2045</v>
      </c>
      <c r="B32" s="51">
        <f>B31*'Solar Prices'!I32</f>
        <v>1159.2902641733183</v>
      </c>
      <c r="C32" s="18">
        <v>1</v>
      </c>
      <c r="D32" s="4">
        <f>'Solar Prices'!$C$43</f>
        <v>150</v>
      </c>
      <c r="E32" s="3">
        <f t="shared" si="6"/>
        <v>173893.53962599774</v>
      </c>
      <c r="F32" s="10">
        <f t="shared" si="5"/>
        <v>7.0699999999999999E-2</v>
      </c>
      <c r="G32" s="10">
        <v>2.5000000000000001E-2</v>
      </c>
      <c r="H32" s="18">
        <v>30</v>
      </c>
      <c r="I32" s="2">
        <v>0.26</v>
      </c>
      <c r="J32" s="18" t="s">
        <v>7</v>
      </c>
      <c r="K32" s="3">
        <f t="shared" si="7"/>
        <v>14112.124385596051</v>
      </c>
      <c r="L32" s="3">
        <f t="shared" si="1"/>
        <v>12916.491976980025</v>
      </c>
      <c r="M32" s="11">
        <f>'Solar Prices'!F32</f>
        <v>12916.491976980002</v>
      </c>
      <c r="N32" s="6">
        <f t="shared" si="8"/>
        <v>2.3646862246096134E-11</v>
      </c>
      <c r="O32" s="6">
        <f t="shared" si="9"/>
        <v>1.8307495787741738E-13</v>
      </c>
    </row>
    <row r="33" spans="1:15" x14ac:dyDescent="0.25">
      <c r="A33" s="18">
        <f>'Solar Prices'!B33</f>
        <v>2046</v>
      </c>
      <c r="B33" s="51">
        <f>B32*'Solar Prices'!I33</f>
        <v>1159.6034525496643</v>
      </c>
      <c r="C33" s="18">
        <v>1</v>
      </c>
      <c r="D33" s="4">
        <f>'Solar Prices'!$C$43</f>
        <v>150</v>
      </c>
      <c r="E33" s="3">
        <f t="shared" si="6"/>
        <v>173940.51788244964</v>
      </c>
      <c r="F33" s="10">
        <f t="shared" si="5"/>
        <v>7.0699999999999999E-2</v>
      </c>
      <c r="G33" s="10">
        <v>2.5000000000000001E-2</v>
      </c>
      <c r="H33" s="18">
        <v>30</v>
      </c>
      <c r="I33" s="2">
        <v>0.26</v>
      </c>
      <c r="J33" s="18" t="s">
        <v>7</v>
      </c>
      <c r="K33" s="3">
        <f t="shared" si="7"/>
        <v>14115.936850394304</v>
      </c>
      <c r="L33" s="3">
        <f t="shared" si="1"/>
        <v>12919.981435380025</v>
      </c>
      <c r="M33" s="11">
        <f>'Solar Prices'!F33</f>
        <v>12919.981435380001</v>
      </c>
      <c r="N33" s="6">
        <f t="shared" si="8"/>
        <v>2.3646862246096134E-11</v>
      </c>
      <c r="O33" s="6">
        <f t="shared" si="9"/>
        <v>1.8302551257033314E-13</v>
      </c>
    </row>
    <row r="34" spans="1:15" x14ac:dyDescent="0.25">
      <c r="A34" s="18">
        <f>'Solar Prices'!B34</f>
        <v>2047</v>
      </c>
      <c r="B34" s="51">
        <f>B33*'Solar Prices'!I34</f>
        <v>1159.4259791364013</v>
      </c>
      <c r="C34" s="18">
        <v>1</v>
      </c>
      <c r="D34" s="4">
        <f>'Solar Prices'!$C$43</f>
        <v>150</v>
      </c>
      <c r="E34" s="3">
        <f t="shared" si="6"/>
        <v>173913.89687046019</v>
      </c>
      <c r="F34" s="10">
        <f t="shared" si="5"/>
        <v>7.0699999999999999E-2</v>
      </c>
      <c r="G34" s="10">
        <v>2.5000000000000001E-2</v>
      </c>
      <c r="H34" s="18">
        <v>30</v>
      </c>
      <c r="I34" s="2">
        <v>0.26</v>
      </c>
      <c r="J34" s="18" t="s">
        <v>7</v>
      </c>
      <c r="K34" s="3">
        <f t="shared" si="7"/>
        <v>14113.776453675291</v>
      </c>
      <c r="L34" s="3">
        <f t="shared" si="1"/>
        <v>12918.004075620021</v>
      </c>
      <c r="M34" s="11">
        <f>'Solar Prices'!F34</f>
        <v>12918.00407562</v>
      </c>
      <c r="N34" s="6">
        <f t="shared" si="8"/>
        <v>2.1827872842550278E-11</v>
      </c>
      <c r="O34" s="6">
        <f t="shared" si="9"/>
        <v>1.6897248765965147E-13</v>
      </c>
    </row>
    <row r="35" spans="1:15" x14ac:dyDescent="0.25">
      <c r="A35" s="18">
        <f>'Solar Prices'!B35</f>
        <v>2048</v>
      </c>
      <c r="B35" s="51">
        <f>B34*'Solar Prices'!I35</f>
        <v>1158.4342159446387</v>
      </c>
      <c r="C35" s="18">
        <v>1</v>
      </c>
      <c r="D35" s="4">
        <f>'Solar Prices'!$C$43</f>
        <v>150</v>
      </c>
      <c r="E35" s="3">
        <f t="shared" si="6"/>
        <v>173765.13239169581</v>
      </c>
      <c r="F35" s="10">
        <f t="shared" si="5"/>
        <v>7.0699999999999999E-2</v>
      </c>
      <c r="G35" s="10">
        <v>2.5000000000000001E-2</v>
      </c>
      <c r="H35" s="18">
        <v>30</v>
      </c>
      <c r="I35" s="2">
        <v>0.26</v>
      </c>
      <c r="J35" s="18" t="s">
        <v>7</v>
      </c>
      <c r="K35" s="3">
        <f t="shared" si="7"/>
        <v>14101.703648480821</v>
      </c>
      <c r="L35" s="3">
        <f t="shared" si="1"/>
        <v>12906.954124020023</v>
      </c>
      <c r="M35" s="11">
        <f>'Solar Prices'!F35</f>
        <v>12906.95412402</v>
      </c>
      <c r="N35" s="6">
        <f t="shared" si="8"/>
        <v>2.3646862246096134E-11</v>
      </c>
      <c r="O35" s="6">
        <f t="shared" si="9"/>
        <v>1.8321024479423098E-13</v>
      </c>
    </row>
    <row r="36" spans="1:15" x14ac:dyDescent="0.25">
      <c r="A36" s="18">
        <f>'Solar Prices'!B36</f>
        <v>2049</v>
      </c>
      <c r="B36" s="51">
        <f>B35*'Solar Prices'!I36</f>
        <v>1158.6978161613968</v>
      </c>
      <c r="C36" s="18">
        <v>1</v>
      </c>
      <c r="D36" s="4">
        <f>'Solar Prices'!$C$43</f>
        <v>150</v>
      </c>
      <c r="E36" s="3">
        <f t="shared" si="6"/>
        <v>173804.67242420951</v>
      </c>
      <c r="F36" s="10">
        <f t="shared" si="5"/>
        <v>7.0699999999999999E-2</v>
      </c>
      <c r="G36" s="10">
        <v>2.5000000000000001E-2</v>
      </c>
      <c r="H36" s="18">
        <v>30</v>
      </c>
      <c r="I36" s="2">
        <v>0.26</v>
      </c>
      <c r="J36" s="18" t="s">
        <v>7</v>
      </c>
      <c r="K36" s="3">
        <f t="shared" si="7"/>
        <v>14104.912473019353</v>
      </c>
      <c r="L36" s="3">
        <f t="shared" si="1"/>
        <v>12909.891084840025</v>
      </c>
      <c r="M36" s="11">
        <f>'Solar Prices'!F36</f>
        <v>12909.891084840001</v>
      </c>
      <c r="N36" s="6">
        <f t="shared" si="8"/>
        <v>2.3646862246096134E-11</v>
      </c>
      <c r="O36" s="6">
        <f t="shared" si="9"/>
        <v>1.8316856502270949E-13</v>
      </c>
    </row>
    <row r="37" spans="1:15" x14ac:dyDescent="0.25">
      <c r="A37" s="22">
        <f>'Solar Prices'!B37</f>
        <v>2050</v>
      </c>
      <c r="B37" s="51">
        <f>B36*'Solar Prices'!I37</f>
        <v>1158.2071543717877</v>
      </c>
      <c r="C37" s="22">
        <v>1</v>
      </c>
      <c r="D37" s="4">
        <f>'Solar Prices'!$C$43</f>
        <v>150</v>
      </c>
      <c r="E37" s="3">
        <f t="shared" ref="E37" si="10">D37*C37*B37</f>
        <v>173731.07315576816</v>
      </c>
      <c r="F37" s="10">
        <f t="shared" si="5"/>
        <v>7.0699999999999999E-2</v>
      </c>
      <c r="G37" s="10">
        <v>2.5000000000000001E-2</v>
      </c>
      <c r="H37" s="22">
        <v>30</v>
      </c>
      <c r="I37" s="2">
        <v>0.26</v>
      </c>
      <c r="J37" s="22" t="s">
        <v>7</v>
      </c>
      <c r="K37" s="3">
        <f t="shared" ref="K37" si="11">F37/(1-(1/(1+F37))^H37)*E37</f>
        <v>14098.939611502086</v>
      </c>
      <c r="L37" s="3">
        <f t="shared" ref="L37" si="12">E37*$E$41</f>
        <v>12904.424266680022</v>
      </c>
      <c r="M37" s="11">
        <f>'Solar Prices'!F37</f>
        <v>12904.424266679998</v>
      </c>
      <c r="N37" s="6">
        <f t="shared" ref="N37" si="13">L37-M37</f>
        <v>2.3646862246096134E-11</v>
      </c>
      <c r="O37" s="6">
        <f t="shared" ref="O37" si="14">N37/M37*100</f>
        <v>1.8324616238132963E-13</v>
      </c>
    </row>
    <row r="38" spans="1:15" x14ac:dyDescent="0.25">
      <c r="B38" s="51"/>
      <c r="D38" s="4"/>
      <c r="E38" s="3"/>
      <c r="F38" s="10"/>
      <c r="G38" s="10"/>
      <c r="I38" s="2"/>
      <c r="K38" s="3"/>
      <c r="L38" s="3"/>
      <c r="M38" s="11"/>
    </row>
    <row r="39" spans="1:15" x14ac:dyDescent="0.25">
      <c r="A39" s="12" t="s">
        <v>32</v>
      </c>
      <c r="E39" s="13">
        <f>(1-(1+F9)^-H9)/F9</f>
        <v>12.322279401355566</v>
      </c>
      <c r="G39" s="13"/>
      <c r="K39" s="14"/>
      <c r="L39" s="4"/>
    </row>
    <row r="40" spans="1:15" x14ac:dyDescent="0.25">
      <c r="A40" s="12" t="s">
        <v>33</v>
      </c>
      <c r="E40" s="15">
        <f>(1-(1+F9+G9)^-H9)/(F9+G9)</f>
        <v>9.7758198439883</v>
      </c>
    </row>
    <row r="41" spans="1:15" x14ac:dyDescent="0.25">
      <c r="A41" s="12" t="s">
        <v>34</v>
      </c>
      <c r="E41" s="18">
        <f>(1-I9*(E40/H9))/E39</f>
        <v>7.4278158951506912E-2</v>
      </c>
    </row>
  </sheetData>
  <mergeCells count="1">
    <mergeCell ref="B1:O1"/>
  </mergeCells>
  <pageMargins left="0.7" right="0.7" top="0.75" bottom="0.75" header="0.3" footer="0.3"/>
  <pageSetup scale="61" orientation="portrait" r:id="rId1"/>
  <headerFooter>
    <oddHeader>&amp;RKPSC Case No. 2021-00004
Sierra Club Second Set of Data Requests
Dated April 20, 2021
Item No. 5
Attachment1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workbookViewId="0">
      <selection activeCell="L3" sqref="L3"/>
    </sheetView>
  </sheetViews>
  <sheetFormatPr defaultRowHeight="15" x14ac:dyDescent="0.25"/>
  <cols>
    <col min="2" max="2" width="11.85546875" style="57" customWidth="1"/>
    <col min="4" max="4" width="9.5703125" bestFit="1" customWidth="1"/>
    <col min="5" max="5" width="4" customWidth="1"/>
    <col min="6" max="6" width="10.85546875" bestFit="1" customWidth="1"/>
    <col min="13" max="13" width="9.7109375" bestFit="1" customWidth="1"/>
    <col min="14" max="14" width="9.140625" style="57"/>
  </cols>
  <sheetData>
    <row r="1" spans="1:19" x14ac:dyDescent="0.25">
      <c r="B1" s="75" t="s">
        <v>44</v>
      </c>
      <c r="C1" s="75"/>
      <c r="D1" s="75"/>
      <c r="E1" s="75"/>
      <c r="F1" s="75"/>
      <c r="G1" s="75"/>
      <c r="M1" s="19"/>
    </row>
    <row r="2" spans="1:19" x14ac:dyDescent="0.25">
      <c r="B2" s="75" t="s">
        <v>36</v>
      </c>
      <c r="C2" s="75"/>
      <c r="D2" s="75"/>
      <c r="E2" s="75"/>
      <c r="F2" s="75"/>
      <c r="G2" s="75"/>
    </row>
    <row r="3" spans="1:19" x14ac:dyDescent="0.25">
      <c r="M3" s="27"/>
    </row>
    <row r="4" spans="1:19" x14ac:dyDescent="0.25">
      <c r="C4" s="27" t="s">
        <v>46</v>
      </c>
      <c r="L4" s="27" t="s">
        <v>62</v>
      </c>
      <c r="N4" s="59" t="s">
        <v>61</v>
      </c>
    </row>
    <row r="5" spans="1:19" x14ac:dyDescent="0.25">
      <c r="C5" s="76" t="s">
        <v>5</v>
      </c>
      <c r="D5" s="76"/>
      <c r="F5" s="75" t="s">
        <v>5</v>
      </c>
      <c r="G5" s="75"/>
      <c r="N5" s="57" t="s">
        <v>6</v>
      </c>
      <c r="O5" t="s">
        <v>9</v>
      </c>
    </row>
    <row r="6" spans="1:19" ht="27.75" customHeight="1" x14ac:dyDescent="0.25">
      <c r="C6" s="76" t="s">
        <v>109</v>
      </c>
      <c r="D6" s="76"/>
      <c r="F6" s="75" t="s">
        <v>4</v>
      </c>
      <c r="G6" s="75"/>
      <c r="L6" s="71" t="s">
        <v>39</v>
      </c>
      <c r="M6" s="23"/>
      <c r="N6" s="60" t="s">
        <v>40</v>
      </c>
      <c r="O6" s="23" t="s">
        <v>41</v>
      </c>
    </row>
    <row r="7" spans="1:19" x14ac:dyDescent="0.25">
      <c r="A7" t="s">
        <v>42</v>
      </c>
      <c r="B7" s="57" t="s">
        <v>43</v>
      </c>
      <c r="C7" s="25" t="s">
        <v>45</v>
      </c>
      <c r="D7" s="1"/>
      <c r="F7" s="1" t="s">
        <v>45</v>
      </c>
      <c r="G7" s="1"/>
      <c r="L7" s="72" t="s">
        <v>41</v>
      </c>
      <c r="M7" s="23"/>
      <c r="N7" s="60"/>
      <c r="O7" s="23"/>
      <c r="Q7" s="46" t="s">
        <v>63</v>
      </c>
      <c r="R7" s="46" t="s">
        <v>64</v>
      </c>
    </row>
    <row r="8" spans="1:19" ht="5.25" customHeight="1" x14ac:dyDescent="0.25">
      <c r="L8" s="23"/>
      <c r="M8" s="23"/>
      <c r="N8" s="60"/>
      <c r="O8" s="23"/>
      <c r="Q8" s="47">
        <v>0</v>
      </c>
      <c r="R8" s="47">
        <v>150</v>
      </c>
    </row>
    <row r="9" spans="1:19" x14ac:dyDescent="0.25">
      <c r="A9" s="21">
        <v>2021</v>
      </c>
      <c r="B9" s="49">
        <v>2022</v>
      </c>
      <c r="C9" s="26">
        <v>45.284599999999998</v>
      </c>
      <c r="D9" s="44"/>
      <c r="F9" s="6">
        <f t="shared" ref="F9:F38" si="0">C9*$C$42</f>
        <v>13168.22732172</v>
      </c>
      <c r="G9" s="6"/>
      <c r="I9" s="16"/>
      <c r="J9" s="16"/>
      <c r="L9" s="24">
        <v>23.741299999999999</v>
      </c>
      <c r="M9" s="24"/>
      <c r="N9" s="44">
        <f>L9/(1-0.26)</f>
        <v>32.082837837837836</v>
      </c>
      <c r="O9" s="73"/>
      <c r="Q9" s="47">
        <v>3563.1000000003</v>
      </c>
      <c r="R9" s="47">
        <v>150</v>
      </c>
      <c r="S9" s="48">
        <f>(Q9/R9)-L9</f>
        <v>1.2700000002002554E-2</v>
      </c>
    </row>
    <row r="10" spans="1:19" x14ac:dyDescent="0.25">
      <c r="A10" s="21">
        <f>A9+1</f>
        <v>2022</v>
      </c>
      <c r="B10" s="49">
        <f t="shared" ref="B10:B30" si="1">B9+1</f>
        <v>2023</v>
      </c>
      <c r="C10" s="26">
        <v>42.088099999999997</v>
      </c>
      <c r="D10" s="44"/>
      <c r="F10" s="6">
        <f t="shared" si="0"/>
        <v>12238.72284042</v>
      </c>
      <c r="G10" s="6"/>
      <c r="I10" s="16">
        <f t="shared" ref="I10:I38" si="2">C10/C9</f>
        <v>0.92941308965961933</v>
      </c>
      <c r="J10" s="16"/>
      <c r="L10" s="24">
        <v>23.8127</v>
      </c>
      <c r="M10" s="24"/>
      <c r="N10" s="44">
        <f t="shared" ref="N10:N35" si="3">L10/(1-0.26)</f>
        <v>32.179324324324327</v>
      </c>
      <c r="O10" s="73"/>
      <c r="Q10" s="47">
        <v>3574.1999999988102</v>
      </c>
      <c r="R10" s="47">
        <v>150</v>
      </c>
      <c r="S10" s="48">
        <f t="shared" ref="S10:S37" si="4">(Q10/R10)-L10</f>
        <v>1.5299999992070212E-2</v>
      </c>
    </row>
    <row r="11" spans="1:19" x14ac:dyDescent="0.25">
      <c r="A11" s="21">
        <f t="shared" ref="A11:A38" si="5">A10+1</f>
        <v>2023</v>
      </c>
      <c r="B11" s="49">
        <f t="shared" si="1"/>
        <v>2024</v>
      </c>
      <c r="C11" s="26">
        <v>40.089799999999997</v>
      </c>
      <c r="D11" s="44"/>
      <c r="F11" s="6">
        <f t="shared" si="0"/>
        <v>11657.64078036</v>
      </c>
      <c r="G11" s="6"/>
      <c r="I11" s="16">
        <f>C11/C10</f>
        <v>0.95252102138134054</v>
      </c>
      <c r="J11" s="16"/>
      <c r="L11" s="24">
        <v>24.007100000000001</v>
      </c>
      <c r="M11" s="24"/>
      <c r="N11" s="44">
        <f t="shared" si="3"/>
        <v>32.442027027027031</v>
      </c>
      <c r="O11" s="73"/>
      <c r="Q11" s="47">
        <v>3606.2531506843602</v>
      </c>
      <c r="R11" s="47">
        <v>150</v>
      </c>
      <c r="S11" s="48">
        <f t="shared" si="4"/>
        <v>3.4587671229065364E-2</v>
      </c>
    </row>
    <row r="12" spans="1:19" x14ac:dyDescent="0.25">
      <c r="A12" s="21">
        <f t="shared" si="5"/>
        <v>2024</v>
      </c>
      <c r="B12" s="49">
        <f t="shared" si="1"/>
        <v>2025</v>
      </c>
      <c r="C12" s="26">
        <v>43.657299999999999</v>
      </c>
      <c r="D12" s="44"/>
      <c r="F12" s="6">
        <f t="shared" si="0"/>
        <v>12695.02768386</v>
      </c>
      <c r="G12" s="6"/>
      <c r="I12" s="16">
        <f t="shared" si="2"/>
        <v>1.0889877225628464</v>
      </c>
      <c r="J12" s="16"/>
      <c r="L12" s="24">
        <v>24.254300000000001</v>
      </c>
      <c r="M12" s="24"/>
      <c r="N12" s="44">
        <f t="shared" si="3"/>
        <v>32.776081081081081</v>
      </c>
      <c r="O12" s="73"/>
      <c r="Q12" s="47">
        <v>3640.8000000007301</v>
      </c>
      <c r="R12" s="47">
        <v>150</v>
      </c>
      <c r="S12" s="48">
        <f t="shared" si="4"/>
        <v>1.7700000004865046E-2</v>
      </c>
    </row>
    <row r="13" spans="1:19" x14ac:dyDescent="0.25">
      <c r="A13" s="21">
        <f t="shared" si="5"/>
        <v>2025</v>
      </c>
      <c r="B13" s="49">
        <f t="shared" si="1"/>
        <v>2026</v>
      </c>
      <c r="C13" s="26">
        <v>44.957900000000002</v>
      </c>
      <c r="D13" s="44"/>
      <c r="F13" s="6">
        <f t="shared" si="0"/>
        <v>13073.226816780001</v>
      </c>
      <c r="G13" s="6"/>
      <c r="I13" s="16">
        <f>C13/C12</f>
        <v>1.0297911231340464</v>
      </c>
      <c r="J13" s="16"/>
      <c r="L13" s="24">
        <v>24.551400000000001</v>
      </c>
      <c r="M13" s="24"/>
      <c r="N13" s="44">
        <f t="shared" si="3"/>
        <v>33.177567567567571</v>
      </c>
      <c r="O13" s="73"/>
      <c r="Q13" s="47">
        <v>3685.19999999839</v>
      </c>
      <c r="R13" s="47">
        <v>150</v>
      </c>
      <c r="S13" s="48">
        <f t="shared" si="4"/>
        <v>1.6599999989264091E-2</v>
      </c>
    </row>
    <row r="14" spans="1:19" x14ac:dyDescent="0.25">
      <c r="A14" s="21">
        <f t="shared" si="5"/>
        <v>2026</v>
      </c>
      <c r="B14" s="49">
        <f t="shared" si="1"/>
        <v>2027</v>
      </c>
      <c r="C14" s="26">
        <v>44.647199999999998</v>
      </c>
      <c r="D14" s="44"/>
      <c r="F14" s="6">
        <f t="shared" si="0"/>
        <v>12982.87892304</v>
      </c>
      <c r="G14" s="6"/>
      <c r="I14" s="16">
        <f t="shared" si="2"/>
        <v>0.9930890900153253</v>
      </c>
      <c r="J14" s="16"/>
      <c r="L14" s="24">
        <v>24.9254</v>
      </c>
      <c r="M14" s="24"/>
      <c r="N14" s="44">
        <f t="shared" si="3"/>
        <v>33.682972972972976</v>
      </c>
      <c r="O14" s="73"/>
      <c r="Q14" s="47">
        <v>3740.6999999982099</v>
      </c>
      <c r="R14" s="47">
        <v>150</v>
      </c>
      <c r="S14" s="48">
        <f t="shared" si="4"/>
        <v>1.2599999988065491E-2</v>
      </c>
    </row>
    <row r="15" spans="1:19" x14ac:dyDescent="0.25">
      <c r="A15" s="21">
        <f t="shared" si="5"/>
        <v>2027</v>
      </c>
      <c r="B15" s="49">
        <f t="shared" si="1"/>
        <v>2028</v>
      </c>
      <c r="C15" s="26">
        <v>44.682099999999998</v>
      </c>
      <c r="D15" s="44"/>
      <c r="F15" s="6">
        <f t="shared" si="0"/>
        <v>12993.02743122</v>
      </c>
      <c r="G15" s="6"/>
      <c r="I15" s="16">
        <f>C15/C14</f>
        <v>1.0007816839577846</v>
      </c>
      <c r="J15" s="16"/>
      <c r="L15" s="24">
        <v>25.3308</v>
      </c>
      <c r="M15" s="24"/>
      <c r="N15" s="44">
        <f t="shared" si="3"/>
        <v>34.230810810810809</v>
      </c>
      <c r="O15" s="73"/>
      <c r="Q15" s="47">
        <v>3806.6005479468399</v>
      </c>
      <c r="R15" s="47">
        <v>150</v>
      </c>
      <c r="S15" s="48">
        <f t="shared" si="4"/>
        <v>4.6536986312265327E-2</v>
      </c>
    </row>
    <row r="16" spans="1:19" x14ac:dyDescent="0.25">
      <c r="A16" s="21">
        <f t="shared" si="5"/>
        <v>2028</v>
      </c>
      <c r="B16" s="49">
        <f t="shared" si="1"/>
        <v>2029</v>
      </c>
      <c r="C16" s="26">
        <v>44.548000000000002</v>
      </c>
      <c r="D16" s="44"/>
      <c r="F16" s="6">
        <f t="shared" si="0"/>
        <v>12954.032733600001</v>
      </c>
      <c r="G16" s="6"/>
      <c r="I16" s="16">
        <f t="shared" si="2"/>
        <v>0.9969987981764511</v>
      </c>
      <c r="J16" s="16"/>
      <c r="L16" s="24">
        <v>25.725300000000001</v>
      </c>
      <c r="M16" s="24"/>
      <c r="N16" s="44">
        <f t="shared" si="3"/>
        <v>34.763918918918918</v>
      </c>
      <c r="O16" s="73"/>
      <c r="Q16" s="47">
        <v>3862.7999999999802</v>
      </c>
      <c r="R16" s="47">
        <v>150</v>
      </c>
      <c r="S16" s="48">
        <f t="shared" si="4"/>
        <v>2.6699999999866719E-2</v>
      </c>
    </row>
    <row r="17" spans="1:19" x14ac:dyDescent="0.25">
      <c r="A17" s="21">
        <f t="shared" si="5"/>
        <v>2029</v>
      </c>
      <c r="B17" s="49">
        <f t="shared" si="1"/>
        <v>2030</v>
      </c>
      <c r="C17" s="26">
        <v>44.491900000000001</v>
      </c>
      <c r="D17" s="44"/>
      <c r="F17" s="6">
        <f t="shared" si="0"/>
        <v>12937.719515580002</v>
      </c>
      <c r="G17" s="6"/>
      <c r="I17" s="16">
        <f t="shared" si="2"/>
        <v>0.99874068420580042</v>
      </c>
      <c r="J17" s="16"/>
      <c r="L17" s="24">
        <v>26.128699999999998</v>
      </c>
      <c r="M17" s="24"/>
      <c r="N17" s="44">
        <f t="shared" si="3"/>
        <v>35.309054054054052</v>
      </c>
      <c r="O17" s="73"/>
      <c r="Q17" s="47">
        <v>3918.2999999997201</v>
      </c>
      <c r="R17" s="47">
        <v>150</v>
      </c>
      <c r="S17" s="48">
        <f t="shared" si="4"/>
        <v>-6.7000000018637706E-3</v>
      </c>
    </row>
    <row r="18" spans="1:19" x14ac:dyDescent="0.25">
      <c r="A18" s="21">
        <f t="shared" si="5"/>
        <v>2030</v>
      </c>
      <c r="B18" s="49">
        <f t="shared" si="1"/>
        <v>2031</v>
      </c>
      <c r="C18" s="26">
        <v>44.472200000000001</v>
      </c>
      <c r="D18" s="44"/>
      <c r="F18" s="6">
        <f t="shared" si="0"/>
        <v>12931.990988040001</v>
      </c>
      <c r="G18" s="6"/>
      <c r="I18" s="16">
        <f t="shared" si="2"/>
        <v>0.99955722277538162</v>
      </c>
      <c r="J18" s="16"/>
      <c r="L18" s="24">
        <v>26.5367</v>
      </c>
      <c r="M18" s="24"/>
      <c r="N18" s="44">
        <f t="shared" si="3"/>
        <v>35.860405405405409</v>
      </c>
      <c r="O18" s="73"/>
      <c r="Q18" s="47">
        <v>3984.9000000017199</v>
      </c>
      <c r="R18" s="47">
        <v>150</v>
      </c>
      <c r="S18" s="48">
        <f t="shared" si="4"/>
        <v>2.9300000011467375E-2</v>
      </c>
    </row>
    <row r="19" spans="1:19" x14ac:dyDescent="0.25">
      <c r="A19" s="21">
        <f t="shared" si="5"/>
        <v>2031</v>
      </c>
      <c r="B19" s="49">
        <f t="shared" si="1"/>
        <v>2032</v>
      </c>
      <c r="C19" s="26">
        <v>44.421500000000002</v>
      </c>
      <c r="D19" s="45"/>
      <c r="F19" s="6">
        <f t="shared" si="0"/>
        <v>12917.248026300002</v>
      </c>
      <c r="G19" s="6"/>
      <c r="I19" s="16">
        <f t="shared" si="2"/>
        <v>0.99885996195375992</v>
      </c>
      <c r="J19" s="16"/>
      <c r="L19" s="24">
        <v>26.945</v>
      </c>
      <c r="M19" s="24"/>
      <c r="N19" s="44">
        <f t="shared" si="3"/>
        <v>36.412162162162161</v>
      </c>
      <c r="O19" s="73"/>
      <c r="Q19" s="47">
        <v>4051.4695890425601</v>
      </c>
      <c r="R19" s="47">
        <v>150</v>
      </c>
      <c r="S19" s="48">
        <f t="shared" si="4"/>
        <v>6.4797260283732783E-2</v>
      </c>
    </row>
    <row r="20" spans="1:19" x14ac:dyDescent="0.25">
      <c r="A20" s="21">
        <f t="shared" si="5"/>
        <v>2032</v>
      </c>
      <c r="B20" s="49">
        <f t="shared" si="1"/>
        <v>2033</v>
      </c>
      <c r="C20" s="26">
        <v>44.395400000000002</v>
      </c>
      <c r="D20" s="4"/>
      <c r="F20" s="6">
        <f t="shared" si="0"/>
        <v>12909.658454280001</v>
      </c>
      <c r="G20" s="6"/>
      <c r="I20" s="16">
        <f t="shared" si="2"/>
        <v>0.99941244667559626</v>
      </c>
      <c r="J20" s="16"/>
      <c r="L20" s="24">
        <v>27.357199999999999</v>
      </c>
      <c r="M20" s="24"/>
      <c r="N20" s="44">
        <f t="shared" si="3"/>
        <v>36.969189189189187</v>
      </c>
      <c r="O20" s="73"/>
      <c r="Q20" s="47">
        <v>4106.9999999998099</v>
      </c>
      <c r="R20" s="47">
        <v>150</v>
      </c>
      <c r="S20" s="48">
        <f t="shared" si="4"/>
        <v>2.2799999998735387E-2</v>
      </c>
    </row>
    <row r="21" spans="1:19" x14ac:dyDescent="0.25">
      <c r="A21" s="21">
        <f t="shared" si="5"/>
        <v>2033</v>
      </c>
      <c r="B21" s="49">
        <f t="shared" si="1"/>
        <v>2034</v>
      </c>
      <c r="C21" s="26">
        <v>44.4223</v>
      </c>
      <c r="D21" s="4"/>
      <c r="F21" s="6">
        <f t="shared" si="0"/>
        <v>12917.480656860002</v>
      </c>
      <c r="G21" s="6"/>
      <c r="I21" s="16">
        <f t="shared" si="2"/>
        <v>1.0006059186312095</v>
      </c>
      <c r="J21" s="16"/>
      <c r="L21" s="24">
        <v>27.7788</v>
      </c>
      <c r="M21" s="24"/>
      <c r="N21" s="44">
        <f t="shared" si="3"/>
        <v>37.538918918918917</v>
      </c>
      <c r="O21" s="73"/>
      <c r="Q21" s="47">
        <v>4162.4999999996398</v>
      </c>
      <c r="R21" s="47">
        <v>150</v>
      </c>
      <c r="S21" s="48">
        <f t="shared" si="4"/>
        <v>-2.8800000002402015E-2</v>
      </c>
    </row>
    <row r="22" spans="1:19" x14ac:dyDescent="0.25">
      <c r="A22" s="21">
        <f t="shared" si="5"/>
        <v>2034</v>
      </c>
      <c r="B22" s="49">
        <f t="shared" si="1"/>
        <v>2035</v>
      </c>
      <c r="C22" s="26">
        <v>44.447499999999998</v>
      </c>
      <c r="D22" s="4"/>
      <c r="F22" s="6">
        <f t="shared" si="0"/>
        <v>12924.8085195</v>
      </c>
      <c r="G22" s="6"/>
      <c r="I22" s="16">
        <f t="shared" si="2"/>
        <v>1.0005672826485796</v>
      </c>
      <c r="J22" s="16"/>
      <c r="L22" s="24">
        <v>28.205200000000001</v>
      </c>
      <c r="M22" s="24"/>
      <c r="N22" s="44">
        <f t="shared" si="3"/>
        <v>38.115135135135141</v>
      </c>
      <c r="O22" s="73"/>
      <c r="Q22" s="47">
        <v>4229.1000000015601</v>
      </c>
      <c r="R22" s="47">
        <v>150</v>
      </c>
      <c r="S22" s="48">
        <f t="shared" si="4"/>
        <v>-1.1199999989599974E-2</v>
      </c>
    </row>
    <row r="23" spans="1:19" x14ac:dyDescent="0.25">
      <c r="A23" s="21">
        <f t="shared" si="5"/>
        <v>2035</v>
      </c>
      <c r="B23" s="49">
        <f t="shared" si="1"/>
        <v>2036</v>
      </c>
      <c r="C23" s="26">
        <v>44.449199999999998</v>
      </c>
      <c r="D23" s="4"/>
      <c r="F23" s="6">
        <f t="shared" si="0"/>
        <v>12925.30285944</v>
      </c>
      <c r="G23" s="6"/>
      <c r="I23" s="16">
        <f t="shared" si="2"/>
        <v>1.0000382473704932</v>
      </c>
      <c r="J23" s="16"/>
      <c r="L23" s="24">
        <v>28.635999999999999</v>
      </c>
      <c r="M23" s="24"/>
      <c r="N23" s="44">
        <f t="shared" si="3"/>
        <v>38.697297297297297</v>
      </c>
      <c r="O23" s="73"/>
      <c r="Q23" s="47">
        <v>4307.4690410957301</v>
      </c>
      <c r="R23" s="47">
        <v>150</v>
      </c>
      <c r="S23" s="48">
        <f t="shared" si="4"/>
        <v>8.0460273971535656E-2</v>
      </c>
    </row>
    <row r="24" spans="1:19" x14ac:dyDescent="0.25">
      <c r="A24" s="21">
        <f t="shared" si="5"/>
        <v>2036</v>
      </c>
      <c r="B24" s="49">
        <f t="shared" si="1"/>
        <v>2037</v>
      </c>
      <c r="C24" s="26">
        <v>44.415700000000001</v>
      </c>
      <c r="D24" s="4"/>
      <c r="F24" s="6">
        <f t="shared" si="0"/>
        <v>12915.561454740002</v>
      </c>
      <c r="G24" s="6"/>
      <c r="I24" s="16">
        <f t="shared" si="2"/>
        <v>0.99924633064262136</v>
      </c>
      <c r="J24" s="16"/>
      <c r="L24" s="24">
        <v>29.069800000000001</v>
      </c>
      <c r="M24" s="24"/>
      <c r="N24" s="44">
        <f t="shared" si="3"/>
        <v>39.283513513513512</v>
      </c>
      <c r="O24" s="73"/>
      <c r="Q24" s="47">
        <v>4362.3000000018201</v>
      </c>
      <c r="R24" s="47">
        <v>150</v>
      </c>
      <c r="S24" s="48">
        <f t="shared" si="4"/>
        <v>1.2200000012132506E-2</v>
      </c>
    </row>
    <row r="25" spans="1:19" x14ac:dyDescent="0.25">
      <c r="A25" s="21">
        <f t="shared" si="5"/>
        <v>2037</v>
      </c>
      <c r="B25" s="49">
        <f t="shared" si="1"/>
        <v>2038</v>
      </c>
      <c r="C25" s="26">
        <v>44.348400000000005</v>
      </c>
      <c r="D25" s="4"/>
      <c r="F25" s="6">
        <f t="shared" si="0"/>
        <v>12895.991408880001</v>
      </c>
      <c r="G25" s="6"/>
      <c r="I25" s="16">
        <f t="shared" si="2"/>
        <v>0.99848477002501379</v>
      </c>
      <c r="J25" s="16"/>
      <c r="L25" s="24">
        <v>29.508400000000002</v>
      </c>
      <c r="M25" s="24"/>
      <c r="N25" s="44">
        <f t="shared" si="3"/>
        <v>39.876216216216221</v>
      </c>
      <c r="O25" s="73"/>
      <c r="Q25" s="47">
        <v>4428.9000000000897</v>
      </c>
      <c r="R25" s="47">
        <v>150</v>
      </c>
      <c r="S25" s="48">
        <f t="shared" si="4"/>
        <v>1.7600000000594918E-2</v>
      </c>
    </row>
    <row r="26" spans="1:19" x14ac:dyDescent="0.25">
      <c r="A26" s="21">
        <f t="shared" si="5"/>
        <v>2038</v>
      </c>
      <c r="B26" s="49">
        <f t="shared" si="1"/>
        <v>2039</v>
      </c>
      <c r="C26" s="26">
        <v>44.316600000000001</v>
      </c>
      <c r="D26" s="4"/>
      <c r="F26" s="6">
        <f t="shared" si="0"/>
        <v>12886.744344120001</v>
      </c>
      <c r="G26" s="6"/>
      <c r="I26" s="16">
        <f t="shared" si="2"/>
        <v>0.99928295045593518</v>
      </c>
      <c r="J26" s="16"/>
      <c r="L26" s="24">
        <v>29.956399999999999</v>
      </c>
      <c r="M26" s="24"/>
      <c r="N26" s="44">
        <f t="shared" si="3"/>
        <v>40.48162162162162</v>
      </c>
      <c r="O26" s="73"/>
      <c r="Q26" s="47">
        <v>4495.4999999983602</v>
      </c>
      <c r="R26" s="47">
        <v>150</v>
      </c>
      <c r="S26" s="48">
        <f t="shared" si="4"/>
        <v>1.3599999989068579E-2</v>
      </c>
    </row>
    <row r="27" spans="1:19" x14ac:dyDescent="0.25">
      <c r="A27" s="21">
        <f t="shared" si="5"/>
        <v>2039</v>
      </c>
      <c r="B27" s="49">
        <f t="shared" si="1"/>
        <v>2040</v>
      </c>
      <c r="C27" s="26">
        <v>44.274100000000004</v>
      </c>
      <c r="D27" s="4"/>
      <c r="F27" s="6">
        <f t="shared" si="0"/>
        <v>12874.385845620001</v>
      </c>
      <c r="G27" s="6"/>
      <c r="I27" s="16">
        <f t="shared" si="2"/>
        <v>0.99904099141179614</v>
      </c>
      <c r="J27" s="16"/>
      <c r="L27" s="24">
        <v>30.409800000000001</v>
      </c>
      <c r="M27" s="24"/>
      <c r="N27" s="44">
        <f t="shared" si="3"/>
        <v>41.094324324324326</v>
      </c>
      <c r="O27" s="73"/>
      <c r="Q27" s="47">
        <v>4574.5989041099401</v>
      </c>
      <c r="R27" s="47">
        <v>150</v>
      </c>
      <c r="S27" s="48">
        <f t="shared" si="4"/>
        <v>8.7526027399601247E-2</v>
      </c>
    </row>
    <row r="28" spans="1:19" x14ac:dyDescent="0.25">
      <c r="A28" s="21">
        <f t="shared" si="5"/>
        <v>2040</v>
      </c>
      <c r="B28" s="49">
        <f t="shared" si="1"/>
        <v>2041</v>
      </c>
      <c r="C28" s="26">
        <v>44.277799999999999</v>
      </c>
      <c r="D28" s="4"/>
      <c r="F28" s="6">
        <f t="shared" si="0"/>
        <v>12875.461761960001</v>
      </c>
      <c r="G28" s="6"/>
      <c r="I28" s="16">
        <f t="shared" si="2"/>
        <v>1.0000835703040829</v>
      </c>
      <c r="J28" s="16"/>
      <c r="L28" s="24">
        <v>30.870100000000001</v>
      </c>
      <c r="M28" s="24"/>
      <c r="N28" s="44">
        <f t="shared" si="3"/>
        <v>41.716351351351356</v>
      </c>
      <c r="O28" s="73"/>
      <c r="Q28" s="47">
        <v>4628.6999999986501</v>
      </c>
      <c r="R28" s="47">
        <v>150</v>
      </c>
      <c r="S28" s="48">
        <f t="shared" si="4"/>
        <v>-1.2100000008999245E-2</v>
      </c>
    </row>
    <row r="29" spans="1:19" x14ac:dyDescent="0.25">
      <c r="A29" s="21">
        <f t="shared" si="5"/>
        <v>2041</v>
      </c>
      <c r="B29" s="49">
        <f t="shared" si="1"/>
        <v>2042</v>
      </c>
      <c r="C29" s="26">
        <v>44.2986</v>
      </c>
      <c r="D29" s="4"/>
      <c r="F29" s="6">
        <f t="shared" si="0"/>
        <v>12881.51015652</v>
      </c>
      <c r="G29" s="6"/>
      <c r="I29" s="16">
        <f t="shared" si="2"/>
        <v>1.0004697613702578</v>
      </c>
      <c r="J29" s="16"/>
      <c r="L29" s="24">
        <v>31.336400000000001</v>
      </c>
      <c r="M29" s="24"/>
      <c r="N29" s="44">
        <f t="shared" si="3"/>
        <v>42.346486486486491</v>
      </c>
      <c r="O29" s="73"/>
      <c r="Q29" s="47">
        <v>4695.3000000006296</v>
      </c>
      <c r="R29" s="47">
        <v>150</v>
      </c>
      <c r="S29" s="48">
        <f t="shared" si="4"/>
        <v>-3.4399999995805786E-2</v>
      </c>
    </row>
    <row r="30" spans="1:19" x14ac:dyDescent="0.25">
      <c r="A30" s="21">
        <f t="shared" si="5"/>
        <v>2042</v>
      </c>
      <c r="B30" s="49">
        <f t="shared" si="1"/>
        <v>2043</v>
      </c>
      <c r="C30" s="26">
        <v>44.353099999999998</v>
      </c>
      <c r="D30" s="4"/>
      <c r="F30" s="6">
        <f t="shared" si="0"/>
        <v>12897.358113419999</v>
      </c>
      <c r="G30" s="6"/>
      <c r="I30" s="16">
        <f t="shared" si="2"/>
        <v>1.0012302871874055</v>
      </c>
      <c r="J30" s="16"/>
      <c r="L30" s="24">
        <v>31.808900000000001</v>
      </c>
      <c r="M30" s="24"/>
      <c r="N30" s="44">
        <f t="shared" si="3"/>
        <v>42.984999999999999</v>
      </c>
      <c r="O30" s="73"/>
      <c r="Q30" s="47">
        <v>4773.0000000010496</v>
      </c>
      <c r="R30" s="47">
        <v>150</v>
      </c>
      <c r="S30" s="48">
        <f t="shared" si="4"/>
        <v>1.1100000006994293E-2</v>
      </c>
    </row>
    <row r="31" spans="1:19" x14ac:dyDescent="0.25">
      <c r="A31" s="21">
        <f t="shared" si="5"/>
        <v>2043</v>
      </c>
      <c r="B31" s="49">
        <f t="shared" ref="B31:B38" si="6">B30+1</f>
        <v>2044</v>
      </c>
      <c r="C31" s="26">
        <v>44.380700000000004</v>
      </c>
      <c r="D31" s="4"/>
      <c r="F31" s="6">
        <f t="shared" si="0"/>
        <v>12905.383867740002</v>
      </c>
      <c r="G31" s="6"/>
      <c r="I31" s="16">
        <f t="shared" si="2"/>
        <v>1.0006222789387891</v>
      </c>
      <c r="J31" s="16"/>
      <c r="L31" s="24">
        <v>32.2819</v>
      </c>
      <c r="M31" s="24"/>
      <c r="N31" s="44">
        <f t="shared" si="3"/>
        <v>43.624189189189188</v>
      </c>
      <c r="O31" s="73"/>
      <c r="Q31" s="47">
        <v>4852.8591780815404</v>
      </c>
      <c r="R31" s="47">
        <v>150</v>
      </c>
      <c r="S31" s="48">
        <f t="shared" si="4"/>
        <v>7.0494520543604722E-2</v>
      </c>
    </row>
    <row r="32" spans="1:19" x14ac:dyDescent="0.25">
      <c r="A32" s="21">
        <f t="shared" si="5"/>
        <v>2044</v>
      </c>
      <c r="B32" s="49">
        <f t="shared" si="6"/>
        <v>2045</v>
      </c>
      <c r="C32" s="26">
        <v>44.418900000000001</v>
      </c>
      <c r="D32" s="4"/>
      <c r="F32" s="6">
        <f t="shared" si="0"/>
        <v>12916.491976980002</v>
      </c>
      <c r="G32" s="6"/>
      <c r="I32" s="16">
        <f t="shared" si="2"/>
        <v>1.0008607345084688</v>
      </c>
      <c r="J32" s="16"/>
      <c r="L32" s="24">
        <v>32.7577</v>
      </c>
      <c r="M32" s="24"/>
      <c r="N32" s="44">
        <f t="shared" si="3"/>
        <v>44.267162162162165</v>
      </c>
      <c r="O32" s="73"/>
      <c r="Q32" s="47">
        <v>4917.2999999997801</v>
      </c>
      <c r="R32" s="47">
        <v>150</v>
      </c>
      <c r="S32" s="48">
        <f t="shared" si="4"/>
        <v>2.429999999853294E-2</v>
      </c>
    </row>
    <row r="33" spans="1:19" x14ac:dyDescent="0.25">
      <c r="A33" s="21">
        <f t="shared" si="5"/>
        <v>2045</v>
      </c>
      <c r="B33" s="49">
        <f t="shared" si="6"/>
        <v>2046</v>
      </c>
      <c r="C33" s="26">
        <v>44.430900000000001</v>
      </c>
      <c r="D33" s="4"/>
      <c r="F33" s="6">
        <f t="shared" si="0"/>
        <v>12919.981435380001</v>
      </c>
      <c r="G33" s="6"/>
      <c r="I33" s="16">
        <f t="shared" si="2"/>
        <v>1.0002701552717423</v>
      </c>
      <c r="J33" s="16"/>
      <c r="L33" s="24">
        <v>33.2348</v>
      </c>
      <c r="M33" s="24"/>
      <c r="N33" s="44">
        <f t="shared" si="3"/>
        <v>44.911891891891891</v>
      </c>
      <c r="O33" s="73"/>
      <c r="Q33" s="47">
        <v>4983.9000000017504</v>
      </c>
      <c r="R33" s="47">
        <v>150</v>
      </c>
      <c r="S33" s="48">
        <f t="shared" si="4"/>
        <v>-8.7999999883336955E-3</v>
      </c>
    </row>
    <row r="34" spans="1:19" x14ac:dyDescent="0.25">
      <c r="A34" s="21">
        <f t="shared" si="5"/>
        <v>2046</v>
      </c>
      <c r="B34" s="49">
        <f t="shared" si="6"/>
        <v>2047</v>
      </c>
      <c r="C34" s="26">
        <v>44.424099999999996</v>
      </c>
      <c r="D34" s="4"/>
      <c r="F34" s="6">
        <f t="shared" si="0"/>
        <v>12918.00407562</v>
      </c>
      <c r="G34" s="6"/>
      <c r="I34" s="16">
        <f t="shared" si="2"/>
        <v>0.99984695335903606</v>
      </c>
      <c r="J34" s="16"/>
      <c r="L34" s="24">
        <v>33.712899999999998</v>
      </c>
      <c r="M34" s="24"/>
      <c r="N34" s="44">
        <f t="shared" si="3"/>
        <v>45.557972972972969</v>
      </c>
      <c r="O34" s="73"/>
      <c r="Q34" s="47">
        <v>5061.5999999985697</v>
      </c>
      <c r="R34" s="47">
        <v>150</v>
      </c>
      <c r="S34" s="48">
        <f t="shared" si="4"/>
        <v>3.1099999990466642E-2</v>
      </c>
    </row>
    <row r="35" spans="1:19" x14ac:dyDescent="0.25">
      <c r="A35" s="21">
        <f t="shared" si="5"/>
        <v>2047</v>
      </c>
      <c r="B35" s="49">
        <f t="shared" si="6"/>
        <v>2048</v>
      </c>
      <c r="C35" s="26">
        <v>44.386099999999999</v>
      </c>
      <c r="D35" s="4"/>
      <c r="F35" s="6">
        <f t="shared" si="0"/>
        <v>12906.95412402</v>
      </c>
      <c r="G35" s="6"/>
      <c r="I35" s="16">
        <f t="shared" si="2"/>
        <v>0.99914460844451558</v>
      </c>
      <c r="J35" s="16"/>
      <c r="L35" s="24">
        <v>34.1905</v>
      </c>
      <c r="M35" s="24"/>
      <c r="N35" s="44">
        <f t="shared" si="3"/>
        <v>46.203378378378382</v>
      </c>
      <c r="O35" s="73"/>
      <c r="Q35" s="47">
        <v>5142.2498630141699</v>
      </c>
      <c r="R35" s="47">
        <v>150</v>
      </c>
      <c r="S35" s="48">
        <f t="shared" si="4"/>
        <v>9.1165753427802088E-2</v>
      </c>
    </row>
    <row r="36" spans="1:19" x14ac:dyDescent="0.25">
      <c r="A36" s="21">
        <f t="shared" si="5"/>
        <v>2048</v>
      </c>
      <c r="B36" s="49">
        <f t="shared" si="6"/>
        <v>2049</v>
      </c>
      <c r="C36" s="26">
        <v>44.3962</v>
      </c>
      <c r="D36" s="4"/>
      <c r="F36" s="6">
        <f t="shared" si="0"/>
        <v>12909.891084840001</v>
      </c>
      <c r="G36" s="6"/>
      <c r="I36" s="16">
        <f t="shared" ref="I36" si="7">C36/C35</f>
        <v>1.0002275487145751</v>
      </c>
      <c r="J36" s="16"/>
      <c r="L36" s="24">
        <v>34.672400000000003</v>
      </c>
      <c r="M36" s="24"/>
      <c r="N36" s="44">
        <f>L36/(1-0.26)</f>
        <v>46.854594594594602</v>
      </c>
      <c r="O36" s="73"/>
      <c r="Q36" s="47">
        <v>5205.9000000009601</v>
      </c>
      <c r="R36" s="47">
        <v>150</v>
      </c>
      <c r="S36" s="48">
        <f t="shared" si="4"/>
        <v>3.3600000006394737E-2</v>
      </c>
    </row>
    <row r="37" spans="1:19" x14ac:dyDescent="0.25">
      <c r="A37" s="22">
        <f t="shared" si="5"/>
        <v>2049</v>
      </c>
      <c r="B37" s="49">
        <f t="shared" si="6"/>
        <v>2050</v>
      </c>
      <c r="C37" s="26">
        <v>44.377399999999994</v>
      </c>
      <c r="D37" s="4"/>
      <c r="F37" s="6">
        <f t="shared" si="0"/>
        <v>12904.424266679998</v>
      </c>
      <c r="G37" s="6"/>
      <c r="I37" s="16">
        <f t="shared" si="2"/>
        <v>0.99957654033453303</v>
      </c>
      <c r="J37" s="16"/>
      <c r="L37" s="24">
        <v>35.154200000000003</v>
      </c>
      <c r="M37" s="24"/>
      <c r="N37" s="44">
        <f>L37/(1-0.26)</f>
        <v>47.505675675675683</v>
      </c>
      <c r="O37" s="73"/>
      <c r="Q37" s="47">
        <v>5272.4999999992697</v>
      </c>
      <c r="R37" s="47">
        <v>150</v>
      </c>
      <c r="S37" s="48">
        <f t="shared" si="4"/>
        <v>-4.2000000048716402E-3</v>
      </c>
    </row>
    <row r="38" spans="1:19" x14ac:dyDescent="0.25">
      <c r="A38" s="22">
        <f t="shared" si="5"/>
        <v>2050</v>
      </c>
      <c r="B38" s="49">
        <f t="shared" si="6"/>
        <v>2051</v>
      </c>
      <c r="C38" s="26">
        <v>44.32</v>
      </c>
      <c r="D38" s="4"/>
      <c r="F38" s="6">
        <f t="shared" si="0"/>
        <v>12887.733024000001</v>
      </c>
      <c r="G38" s="6"/>
      <c r="I38" s="16">
        <f t="shared" si="2"/>
        <v>0.99870654882890852</v>
      </c>
      <c r="J38" s="16"/>
      <c r="L38" s="24">
        <v>35.635199999999998</v>
      </c>
      <c r="M38" s="24"/>
      <c r="N38" s="44">
        <f>L38/(1-0.26)</f>
        <v>48.155675675675674</v>
      </c>
      <c r="O38" s="73"/>
    </row>
    <row r="40" spans="1:19" x14ac:dyDescent="0.25">
      <c r="C40" s="75" t="s">
        <v>37</v>
      </c>
      <c r="D40" s="75"/>
    </row>
    <row r="41" spans="1:19" x14ac:dyDescent="0.25">
      <c r="C41" s="25" t="s">
        <v>45</v>
      </c>
      <c r="D41" s="1"/>
    </row>
    <row r="42" spans="1:19" x14ac:dyDescent="0.25">
      <c r="B42" s="58" t="s">
        <v>0</v>
      </c>
      <c r="C42" s="1">
        <f>C43*C44/100*8.76</f>
        <v>290.78820000000002</v>
      </c>
      <c r="D42" s="17"/>
    </row>
    <row r="43" spans="1:19" x14ac:dyDescent="0.25">
      <c r="B43" s="58" t="s">
        <v>1</v>
      </c>
      <c r="C43" s="1">
        <v>150</v>
      </c>
      <c r="D43" s="1"/>
    </row>
    <row r="44" spans="1:19" x14ac:dyDescent="0.25">
      <c r="B44" s="58" t="s">
        <v>2</v>
      </c>
      <c r="C44" s="20">
        <v>22.13</v>
      </c>
      <c r="D44" s="20"/>
    </row>
    <row r="45" spans="1:19" x14ac:dyDescent="0.25">
      <c r="B45" s="58" t="s">
        <v>3</v>
      </c>
      <c r="C45" s="7">
        <v>0.01</v>
      </c>
      <c r="D45" s="7"/>
      <c r="E45" s="2"/>
    </row>
    <row r="47" spans="1:19" x14ac:dyDescent="0.25">
      <c r="C47" s="1"/>
      <c r="D47" s="1"/>
    </row>
    <row r="48" spans="1:19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3"/>
      <c r="D51" s="3"/>
    </row>
    <row r="52" spans="3:4" x14ac:dyDescent="0.25">
      <c r="D52" s="5"/>
    </row>
  </sheetData>
  <mergeCells count="7">
    <mergeCell ref="C40:D40"/>
    <mergeCell ref="B1:G1"/>
    <mergeCell ref="B2:G2"/>
    <mergeCell ref="C6:D6"/>
    <mergeCell ref="F6:G6"/>
    <mergeCell ref="C5:D5"/>
    <mergeCell ref="F5:G5"/>
  </mergeCells>
  <pageMargins left="0.7" right="0.7" top="0.75" bottom="0.75" header="0.3" footer="0.3"/>
  <pageSetup scale="51" orientation="portrait" r:id="rId1"/>
  <headerFooter>
    <oddHeader>&amp;RKPSC Case No. 2021-00004
Sierra Club Second Set of Data Requests
Dated April 20, 2021
Item No. 5
Attachment1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B3" sqref="B1:B1048576"/>
    </sheetView>
  </sheetViews>
  <sheetFormatPr defaultRowHeight="12.75" x14ac:dyDescent="0.2"/>
  <cols>
    <col min="1" max="1" width="39.5703125" style="28" customWidth="1"/>
    <col min="2" max="2" width="9.28515625" style="30" customWidth="1"/>
    <col min="3" max="3" width="8.42578125" style="28" customWidth="1"/>
    <col min="4" max="4" width="7.5703125" style="28" customWidth="1"/>
    <col min="5" max="5" width="8.140625" style="28" customWidth="1"/>
    <col min="6" max="8" width="7.5703125" style="28" customWidth="1"/>
    <col min="9" max="9" width="9.42578125" style="28" customWidth="1"/>
    <col min="10" max="10" width="9" style="28" customWidth="1"/>
    <col min="11" max="11" width="9.42578125" style="28" customWidth="1"/>
    <col min="12" max="13" width="9" style="28" customWidth="1"/>
    <col min="14" max="16384" width="9.140625" style="28"/>
  </cols>
  <sheetData>
    <row r="1" spans="1:13" x14ac:dyDescent="0.2">
      <c r="G1" s="42" t="s">
        <v>60</v>
      </c>
    </row>
    <row r="2" spans="1:13" x14ac:dyDescent="0.2">
      <c r="G2" s="42" t="s">
        <v>59</v>
      </c>
    </row>
    <row r="3" spans="1:13" x14ac:dyDescent="0.2">
      <c r="G3" s="42" t="s">
        <v>58</v>
      </c>
    </row>
    <row r="4" spans="1:13" x14ac:dyDescent="0.2">
      <c r="F4" s="43"/>
      <c r="G4" s="42" t="s">
        <v>57</v>
      </c>
      <c r="I4" s="41"/>
    </row>
    <row r="7" spans="1:13" x14ac:dyDescent="0.2">
      <c r="B7" s="52"/>
      <c r="C7" s="39"/>
      <c r="D7" s="39"/>
      <c r="E7" s="39"/>
      <c r="F7" s="39"/>
      <c r="G7" s="40" t="s">
        <v>56</v>
      </c>
      <c r="H7" s="39"/>
      <c r="I7" s="39"/>
      <c r="J7" s="39"/>
      <c r="K7" s="39"/>
      <c r="L7" s="39"/>
      <c r="M7" s="39"/>
    </row>
    <row r="8" spans="1:13" x14ac:dyDescent="0.2">
      <c r="A8" s="38"/>
    </row>
    <row r="9" spans="1:13" x14ac:dyDescent="0.2">
      <c r="B9" s="53">
        <v>2</v>
      </c>
      <c r="C9" s="37">
        <v>3</v>
      </c>
      <c r="D9" s="37">
        <v>4</v>
      </c>
      <c r="E9" s="37">
        <v>5</v>
      </c>
      <c r="F9" s="37">
        <v>10</v>
      </c>
      <c r="G9" s="37">
        <v>15</v>
      </c>
      <c r="H9" s="37">
        <v>20</v>
      </c>
      <c r="I9" s="37">
        <v>25</v>
      </c>
      <c r="J9" s="37">
        <v>30</v>
      </c>
      <c r="K9" s="37">
        <v>33</v>
      </c>
      <c r="L9" s="37">
        <v>40</v>
      </c>
      <c r="M9" s="37">
        <v>50</v>
      </c>
    </row>
    <row r="10" spans="1:13" x14ac:dyDescent="0.2">
      <c r="A10" s="28" t="s">
        <v>55</v>
      </c>
      <c r="B10" s="54">
        <v>7.07</v>
      </c>
      <c r="C10" s="34">
        <v>7.07</v>
      </c>
      <c r="D10" s="34">
        <v>7.07</v>
      </c>
      <c r="E10" s="34">
        <v>7.07</v>
      </c>
      <c r="F10" s="34">
        <v>7.07</v>
      </c>
      <c r="G10" s="34">
        <v>7.07</v>
      </c>
      <c r="H10" s="34">
        <v>7.07</v>
      </c>
      <c r="I10" s="34">
        <v>7.07</v>
      </c>
      <c r="J10" s="34">
        <v>7.07</v>
      </c>
      <c r="K10" s="34">
        <v>7.07</v>
      </c>
      <c r="L10" s="34">
        <v>7.07</v>
      </c>
      <c r="M10" s="34">
        <v>7.07</v>
      </c>
    </row>
    <row r="11" spans="1:13" x14ac:dyDescent="0.2"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2">
      <c r="A12" s="28" t="s">
        <v>54</v>
      </c>
      <c r="B12" s="54">
        <v>49.039482235713457</v>
      </c>
      <c r="C12" s="34">
        <v>31.908141054678456</v>
      </c>
      <c r="D12" s="34">
        <v>23.324663926645481</v>
      </c>
      <c r="E12" s="34">
        <v>18.187745976942836</v>
      </c>
      <c r="F12" s="34">
        <v>8.0362103286162423</v>
      </c>
      <c r="G12" s="34">
        <v>4.7782465769760494</v>
      </c>
      <c r="H12" s="34">
        <v>3.2293467736443549</v>
      </c>
      <c r="I12" s="34">
        <v>2.3532647259040691</v>
      </c>
      <c r="J12" s="34">
        <v>1.8055275731288327</v>
      </c>
      <c r="K12" s="34">
        <v>1.5697392096074316</v>
      </c>
      <c r="L12" s="34">
        <v>1.1825906281929848</v>
      </c>
      <c r="M12" s="34">
        <v>0.8545166647474508</v>
      </c>
    </row>
    <row r="13" spans="1:13" x14ac:dyDescent="0.2">
      <c r="B13" s="5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x14ac:dyDescent="0.2">
      <c r="A14" s="28" t="s">
        <v>53</v>
      </c>
      <c r="B14" s="54">
        <v>1.0647021352740726</v>
      </c>
      <c r="C14" s="34">
        <v>0.76612131492009583</v>
      </c>
      <c r="D14" s="34">
        <v>0.81870460509426957</v>
      </c>
      <c r="E14" s="34">
        <v>0.68097195696057944</v>
      </c>
      <c r="F14" s="34">
        <v>0.64282223007694195</v>
      </c>
      <c r="G14" s="34">
        <v>0.77427207546116505</v>
      </c>
      <c r="H14" s="34">
        <v>0.8012730997429226</v>
      </c>
      <c r="I14" s="34">
        <v>0.69334215098117669</v>
      </c>
      <c r="J14" s="34">
        <v>0.62299342901216659</v>
      </c>
      <c r="K14" s="34">
        <v>0.59159943191406017</v>
      </c>
      <c r="L14" s="34">
        <v>0.53778620547173417</v>
      </c>
      <c r="M14" s="34">
        <v>0.4886813004491169</v>
      </c>
    </row>
    <row r="15" spans="1:13" x14ac:dyDescent="0.2">
      <c r="B15" s="5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2.75" customHeight="1" x14ac:dyDescent="0.2">
      <c r="A16" s="36" t="s">
        <v>52</v>
      </c>
      <c r="B16" s="55">
        <v>1.45</v>
      </c>
      <c r="C16" s="35">
        <v>1.45</v>
      </c>
      <c r="D16" s="35">
        <v>1.45</v>
      </c>
      <c r="E16" s="35">
        <v>1.45</v>
      </c>
      <c r="F16" s="35">
        <v>1.45</v>
      </c>
      <c r="G16" s="35">
        <v>1.45</v>
      </c>
      <c r="H16" s="35">
        <v>1.45</v>
      </c>
      <c r="I16" s="35">
        <v>1.45</v>
      </c>
      <c r="J16" s="35">
        <v>1.45</v>
      </c>
      <c r="K16" s="35">
        <v>1.45</v>
      </c>
      <c r="L16" s="35">
        <v>1.45</v>
      </c>
      <c r="M16" s="35">
        <v>1.45</v>
      </c>
    </row>
    <row r="17" spans="1:13" x14ac:dyDescent="0.2">
      <c r="B17" s="5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2">
      <c r="A18" s="28" t="s">
        <v>51</v>
      </c>
      <c r="B18" s="54">
        <f t="shared" ref="B18:M18" si="0">SUM(B10:B16)</f>
        <v>58.624184370987535</v>
      </c>
      <c r="C18" s="34">
        <f t="shared" si="0"/>
        <v>41.194262369598562</v>
      </c>
      <c r="D18" s="34">
        <f t="shared" si="0"/>
        <v>32.663368531739749</v>
      </c>
      <c r="E18" s="34">
        <f t="shared" si="0"/>
        <v>27.388717933903415</v>
      </c>
      <c r="F18" s="34">
        <f t="shared" si="0"/>
        <v>17.199032558693183</v>
      </c>
      <c r="G18" s="34">
        <f t="shared" si="0"/>
        <v>14.072518652437212</v>
      </c>
      <c r="H18" s="34">
        <f t="shared" si="0"/>
        <v>12.550619873387278</v>
      </c>
      <c r="I18" s="34">
        <f t="shared" si="0"/>
        <v>11.566606876885245</v>
      </c>
      <c r="J18" s="34">
        <f t="shared" si="0"/>
        <v>10.948521002141</v>
      </c>
      <c r="K18" s="34">
        <f t="shared" si="0"/>
        <v>10.681338641521492</v>
      </c>
      <c r="L18" s="34">
        <f t="shared" si="0"/>
        <v>10.240376833664719</v>
      </c>
      <c r="M18" s="34">
        <f t="shared" si="0"/>
        <v>9.8631979651965676</v>
      </c>
    </row>
    <row r="20" spans="1:13" x14ac:dyDescent="0.2">
      <c r="J20" s="30"/>
    </row>
    <row r="21" spans="1:13" ht="15" x14ac:dyDescent="0.25">
      <c r="A21" s="32" t="s">
        <v>50</v>
      </c>
      <c r="B21" s="56"/>
      <c r="F21" s="33"/>
      <c r="H21" s="31"/>
      <c r="J21" s="30"/>
    </row>
    <row r="22" spans="1:13" x14ac:dyDescent="0.2">
      <c r="A22" s="30"/>
      <c r="J22" s="30"/>
    </row>
    <row r="23" spans="1:13" x14ac:dyDescent="0.2">
      <c r="A23" s="32" t="s">
        <v>49</v>
      </c>
      <c r="J23" s="30"/>
    </row>
    <row r="24" spans="1:13" ht="15" x14ac:dyDescent="0.25">
      <c r="A24" s="30"/>
      <c r="B24" s="56"/>
      <c r="J24" s="30"/>
    </row>
    <row r="25" spans="1:13" x14ac:dyDescent="0.2">
      <c r="A25" s="30" t="s">
        <v>48</v>
      </c>
      <c r="C25" s="30"/>
      <c r="D25" s="30"/>
      <c r="E25" s="30"/>
      <c r="J25" s="30"/>
    </row>
    <row r="26" spans="1:13" x14ac:dyDescent="0.2">
      <c r="J26" s="30"/>
    </row>
    <row r="27" spans="1:13" x14ac:dyDescent="0.2">
      <c r="A27" s="29" t="s">
        <v>47</v>
      </c>
    </row>
  </sheetData>
  <pageMargins left="0.7" right="0.7" top="0.75" bottom="0.75" header="0.3" footer="0.3"/>
  <pageSetup scale="63" orientation="portrait" r:id="rId1"/>
  <headerFooter>
    <oddHeader>&amp;RKPSC Case No. 2021-00004
Sierra Club Second Set of Data Requests
Dated April 20, 2021
Item No. 5
Attachment1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activeCell="Q11" sqref="Q11"/>
    </sheetView>
  </sheetViews>
  <sheetFormatPr defaultRowHeight="15" x14ac:dyDescent="0.25"/>
  <cols>
    <col min="1" max="1" width="18.85546875" bestFit="1" customWidth="1"/>
  </cols>
  <sheetData>
    <row r="1" spans="1:12" ht="57.75" customHeight="1" x14ac:dyDescent="0.25"/>
    <row r="2" spans="1:12" ht="72" customHeight="1" x14ac:dyDescent="0.25">
      <c r="A2" s="61" t="s">
        <v>65</v>
      </c>
      <c r="B2" s="61" t="s">
        <v>66</v>
      </c>
      <c r="C2" s="61" t="s">
        <v>67</v>
      </c>
      <c r="D2" s="61" t="s">
        <v>68</v>
      </c>
      <c r="E2" s="61" t="s">
        <v>69</v>
      </c>
      <c r="F2" s="61" t="s">
        <v>70</v>
      </c>
      <c r="G2" s="61" t="s">
        <v>71</v>
      </c>
      <c r="H2" s="62" t="s">
        <v>72</v>
      </c>
      <c r="I2" s="61" t="s">
        <v>73</v>
      </c>
      <c r="J2" s="61" t="s">
        <v>74</v>
      </c>
      <c r="K2" s="61" t="s">
        <v>75</v>
      </c>
      <c r="L2" s="61" t="s">
        <v>76</v>
      </c>
    </row>
    <row r="3" spans="1:12" x14ac:dyDescent="0.25">
      <c r="A3" s="63" t="s">
        <v>77</v>
      </c>
      <c r="B3" s="64" t="s">
        <v>78</v>
      </c>
      <c r="C3" s="64">
        <v>2021</v>
      </c>
      <c r="D3" s="64" t="s">
        <v>79</v>
      </c>
      <c r="E3" s="65">
        <v>0.23226587301587304</v>
      </c>
      <c r="F3" s="65">
        <v>0.22130277674153734</v>
      </c>
      <c r="G3" s="66">
        <v>0.3</v>
      </c>
      <c r="H3" s="67">
        <v>1352.6695</v>
      </c>
      <c r="I3" s="68">
        <v>23.741299999999999</v>
      </c>
      <c r="J3" s="68">
        <v>12.3201</v>
      </c>
      <c r="K3" s="69">
        <v>57.604700000000001</v>
      </c>
      <c r="L3" s="70">
        <f t="shared" ref="L3:L32" si="0">K3-J3</f>
        <v>45.284599999999998</v>
      </c>
    </row>
    <row r="4" spans="1:12" x14ac:dyDescent="0.25">
      <c r="A4" s="63" t="s">
        <v>80</v>
      </c>
      <c r="B4" s="64" t="s">
        <v>78</v>
      </c>
      <c r="C4" s="64">
        <v>2022</v>
      </c>
      <c r="D4" s="64" t="s">
        <v>79</v>
      </c>
      <c r="E4" s="65">
        <v>0.23226587301587304</v>
      </c>
      <c r="F4" s="65">
        <v>0.22130164049958945</v>
      </c>
      <c r="G4" s="66">
        <v>0.3</v>
      </c>
      <c r="H4" s="67">
        <v>1257.2615000000001</v>
      </c>
      <c r="I4" s="68">
        <v>23.8127</v>
      </c>
      <c r="J4" s="68">
        <v>12.357100000000001</v>
      </c>
      <c r="K4" s="69">
        <v>54.4452</v>
      </c>
      <c r="L4" s="70">
        <f t="shared" si="0"/>
        <v>42.088099999999997</v>
      </c>
    </row>
    <row r="5" spans="1:12" x14ac:dyDescent="0.25">
      <c r="A5" s="63" t="s">
        <v>81</v>
      </c>
      <c r="B5" s="64" t="s">
        <v>78</v>
      </c>
      <c r="C5" s="64">
        <v>2023</v>
      </c>
      <c r="D5" s="64" t="s">
        <v>79</v>
      </c>
      <c r="E5" s="65">
        <v>0.23222221592092304</v>
      </c>
      <c r="F5" s="65">
        <v>0.22130082437330106</v>
      </c>
      <c r="G5" s="66">
        <v>0.3</v>
      </c>
      <c r="H5" s="67">
        <v>1197.6818000000001</v>
      </c>
      <c r="I5" s="68">
        <v>24.007100000000001</v>
      </c>
      <c r="J5" s="68">
        <v>12.4579</v>
      </c>
      <c r="K5" s="69">
        <v>52.547699999999999</v>
      </c>
      <c r="L5" s="70">
        <f t="shared" si="0"/>
        <v>40.089799999999997</v>
      </c>
    </row>
    <row r="6" spans="1:12" x14ac:dyDescent="0.25">
      <c r="A6" s="63" t="s">
        <v>82</v>
      </c>
      <c r="B6" s="64" t="s">
        <v>78</v>
      </c>
      <c r="C6" s="64">
        <v>2024</v>
      </c>
      <c r="D6" s="64" t="s">
        <v>79</v>
      </c>
      <c r="E6" s="65">
        <v>0.23226587301587304</v>
      </c>
      <c r="F6" s="65">
        <v>0.2213034572601621</v>
      </c>
      <c r="G6" s="66">
        <v>0.1</v>
      </c>
      <c r="H6" s="67">
        <v>1152.627</v>
      </c>
      <c r="I6" s="68">
        <v>24.254300000000001</v>
      </c>
      <c r="J6" s="68">
        <v>12.5878</v>
      </c>
      <c r="K6" s="69">
        <v>56.245100000000001</v>
      </c>
      <c r="L6" s="70">
        <f t="shared" si="0"/>
        <v>43.657299999999999</v>
      </c>
    </row>
    <row r="7" spans="1:12" x14ac:dyDescent="0.25">
      <c r="A7" s="63" t="s">
        <v>83</v>
      </c>
      <c r="B7" s="64" t="s">
        <v>78</v>
      </c>
      <c r="C7" s="64">
        <v>2025</v>
      </c>
      <c r="D7" s="64" t="s">
        <v>79</v>
      </c>
      <c r="E7" s="65">
        <v>0.23226587301587304</v>
      </c>
      <c r="F7" s="65">
        <v>0.22130277674153734</v>
      </c>
      <c r="G7" s="66">
        <v>0</v>
      </c>
      <c r="H7" s="67">
        <v>1121.9058</v>
      </c>
      <c r="I7" s="68">
        <v>24.551400000000001</v>
      </c>
      <c r="J7" s="68">
        <v>12.7416</v>
      </c>
      <c r="K7" s="69">
        <v>57.6995</v>
      </c>
      <c r="L7" s="70">
        <f t="shared" si="0"/>
        <v>44.957900000000002</v>
      </c>
    </row>
    <row r="8" spans="1:12" x14ac:dyDescent="0.25">
      <c r="A8" s="63" t="s">
        <v>84</v>
      </c>
      <c r="B8" s="64" t="s">
        <v>78</v>
      </c>
      <c r="C8" s="64">
        <v>2026</v>
      </c>
      <c r="D8" s="64" t="s">
        <v>79</v>
      </c>
      <c r="E8" s="65">
        <v>0.23226587301587304</v>
      </c>
      <c r="F8" s="65">
        <v>0.22130164049958945</v>
      </c>
      <c r="G8" s="66">
        <v>0</v>
      </c>
      <c r="H8" s="67">
        <v>1114.2192</v>
      </c>
      <c r="I8" s="68">
        <v>24.9254</v>
      </c>
      <c r="J8" s="68">
        <v>12.9345</v>
      </c>
      <c r="K8" s="69">
        <v>57.581699999999998</v>
      </c>
      <c r="L8" s="70">
        <f t="shared" si="0"/>
        <v>44.647199999999998</v>
      </c>
    </row>
    <row r="9" spans="1:12" x14ac:dyDescent="0.25">
      <c r="A9" s="63" t="s">
        <v>85</v>
      </c>
      <c r="B9" s="64" t="s">
        <v>78</v>
      </c>
      <c r="C9" s="64">
        <v>2027</v>
      </c>
      <c r="D9" s="64" t="s">
        <v>79</v>
      </c>
      <c r="E9" s="65">
        <v>0.23222221592092304</v>
      </c>
      <c r="F9" s="65">
        <v>0.22130082437330106</v>
      </c>
      <c r="G9" s="66">
        <v>0</v>
      </c>
      <c r="H9" s="67">
        <v>1115.1867</v>
      </c>
      <c r="I9" s="68">
        <v>25.3308</v>
      </c>
      <c r="J9" s="68">
        <v>13.144</v>
      </c>
      <c r="K9" s="69">
        <v>57.826099999999997</v>
      </c>
      <c r="L9" s="70">
        <f t="shared" si="0"/>
        <v>44.682099999999998</v>
      </c>
    </row>
    <row r="10" spans="1:12" x14ac:dyDescent="0.25">
      <c r="A10" s="63" t="s">
        <v>86</v>
      </c>
      <c r="B10" s="64" t="s">
        <v>78</v>
      </c>
      <c r="C10" s="64">
        <v>2028</v>
      </c>
      <c r="D10" s="64" t="s">
        <v>79</v>
      </c>
      <c r="E10" s="65">
        <v>0.23226587301587304</v>
      </c>
      <c r="F10" s="65">
        <v>0.2213034572601621</v>
      </c>
      <c r="G10" s="66">
        <v>0</v>
      </c>
      <c r="H10" s="67">
        <v>1111.624</v>
      </c>
      <c r="I10" s="68">
        <v>25.725300000000001</v>
      </c>
      <c r="J10" s="68">
        <v>13.350099999999999</v>
      </c>
      <c r="K10" s="69">
        <v>57.898099999999999</v>
      </c>
      <c r="L10" s="70">
        <f t="shared" si="0"/>
        <v>44.548000000000002</v>
      </c>
    </row>
    <row r="11" spans="1:12" x14ac:dyDescent="0.25">
      <c r="A11" s="63" t="s">
        <v>87</v>
      </c>
      <c r="B11" s="64" t="s">
        <v>78</v>
      </c>
      <c r="C11" s="64">
        <v>2029</v>
      </c>
      <c r="D11" s="64" t="s">
        <v>79</v>
      </c>
      <c r="E11" s="65">
        <v>0.23226587301587304</v>
      </c>
      <c r="F11" s="65">
        <v>0.22130277674153734</v>
      </c>
      <c r="G11" s="66">
        <v>0</v>
      </c>
      <c r="H11" s="67">
        <v>1110.2789</v>
      </c>
      <c r="I11" s="68">
        <v>26.128699999999998</v>
      </c>
      <c r="J11" s="68">
        <v>13.5588</v>
      </c>
      <c r="K11" s="69">
        <v>58.050699999999999</v>
      </c>
      <c r="L11" s="70">
        <f t="shared" si="0"/>
        <v>44.491900000000001</v>
      </c>
    </row>
    <row r="12" spans="1:12" x14ac:dyDescent="0.25">
      <c r="A12" s="63" t="s">
        <v>88</v>
      </c>
      <c r="B12" s="64" t="s">
        <v>78</v>
      </c>
      <c r="C12" s="64">
        <v>2030</v>
      </c>
      <c r="D12" s="64" t="s">
        <v>79</v>
      </c>
      <c r="E12" s="65">
        <v>0.23226587301587304</v>
      </c>
      <c r="F12" s="65">
        <v>0.22130164049958945</v>
      </c>
      <c r="G12" s="66">
        <v>0</v>
      </c>
      <c r="H12" s="67">
        <v>1109.8515</v>
      </c>
      <c r="I12" s="68">
        <v>26.5367</v>
      </c>
      <c r="J12" s="68">
        <v>13.769299999999999</v>
      </c>
      <c r="K12" s="69">
        <v>58.241500000000002</v>
      </c>
      <c r="L12" s="70">
        <f t="shared" si="0"/>
        <v>44.472200000000001</v>
      </c>
    </row>
    <row r="13" spans="1:12" x14ac:dyDescent="0.25">
      <c r="A13" s="63" t="s">
        <v>89</v>
      </c>
      <c r="B13" s="64" t="s">
        <v>78</v>
      </c>
      <c r="C13" s="64">
        <v>2031</v>
      </c>
      <c r="D13" s="64" t="s">
        <v>79</v>
      </c>
      <c r="E13" s="65">
        <v>0.23222221592092304</v>
      </c>
      <c r="F13" s="65">
        <v>0.22130082437330106</v>
      </c>
      <c r="G13" s="66">
        <v>0</v>
      </c>
      <c r="H13" s="67">
        <v>1108.6828</v>
      </c>
      <c r="I13" s="68">
        <v>26.945</v>
      </c>
      <c r="J13" s="68">
        <v>13.980499999999999</v>
      </c>
      <c r="K13" s="69">
        <v>58.402000000000001</v>
      </c>
      <c r="L13" s="70">
        <f t="shared" si="0"/>
        <v>44.421500000000002</v>
      </c>
    </row>
    <row r="14" spans="1:12" x14ac:dyDescent="0.25">
      <c r="A14" s="63" t="s">
        <v>90</v>
      </c>
      <c r="B14" s="64" t="s">
        <v>78</v>
      </c>
      <c r="C14" s="64">
        <v>2032</v>
      </c>
      <c r="D14" s="64" t="s">
        <v>79</v>
      </c>
      <c r="E14" s="65">
        <v>0.23226587301587304</v>
      </c>
      <c r="F14" s="65">
        <v>0.2213034572601621</v>
      </c>
      <c r="G14" s="66">
        <v>0</v>
      </c>
      <c r="H14" s="67">
        <v>1107.8175000000001</v>
      </c>
      <c r="I14" s="68">
        <v>27.357199999999999</v>
      </c>
      <c r="J14" s="68">
        <v>14.196</v>
      </c>
      <c r="K14" s="69">
        <v>58.5914</v>
      </c>
      <c r="L14" s="70">
        <f t="shared" si="0"/>
        <v>44.395400000000002</v>
      </c>
    </row>
    <row r="15" spans="1:12" x14ac:dyDescent="0.25">
      <c r="A15" s="63" t="s">
        <v>91</v>
      </c>
      <c r="B15" s="64" t="s">
        <v>78</v>
      </c>
      <c r="C15" s="64">
        <v>2033</v>
      </c>
      <c r="D15" s="64" t="s">
        <v>79</v>
      </c>
      <c r="E15" s="65">
        <v>0.23226587301587304</v>
      </c>
      <c r="F15" s="65">
        <v>0.22130277674153734</v>
      </c>
      <c r="G15" s="66">
        <v>0</v>
      </c>
      <c r="H15" s="67">
        <v>1108.5395000000001</v>
      </c>
      <c r="I15" s="68">
        <v>27.7788</v>
      </c>
      <c r="J15" s="68">
        <v>14.414099999999999</v>
      </c>
      <c r="K15" s="69">
        <v>58.836399999999998</v>
      </c>
      <c r="L15" s="70">
        <f t="shared" si="0"/>
        <v>44.4223</v>
      </c>
    </row>
    <row r="16" spans="1:12" x14ac:dyDescent="0.25">
      <c r="A16" s="63" t="s">
        <v>92</v>
      </c>
      <c r="B16" s="64" t="s">
        <v>78</v>
      </c>
      <c r="C16" s="64">
        <v>2034</v>
      </c>
      <c r="D16" s="64" t="s">
        <v>79</v>
      </c>
      <c r="E16" s="65">
        <v>0.23226587301587304</v>
      </c>
      <c r="F16" s="65">
        <v>0.22130164049958945</v>
      </c>
      <c r="G16" s="66">
        <v>0</v>
      </c>
      <c r="H16" s="67">
        <v>1109.2344000000001</v>
      </c>
      <c r="I16" s="68">
        <v>28.205200000000001</v>
      </c>
      <c r="J16" s="68">
        <v>14.6342</v>
      </c>
      <c r="K16" s="69">
        <v>59.081699999999998</v>
      </c>
      <c r="L16" s="70">
        <f t="shared" si="0"/>
        <v>44.447499999999998</v>
      </c>
    </row>
    <row r="17" spans="1:12" x14ac:dyDescent="0.25">
      <c r="A17" s="63" t="s">
        <v>93</v>
      </c>
      <c r="B17" s="64" t="s">
        <v>78</v>
      </c>
      <c r="C17" s="64">
        <v>2035</v>
      </c>
      <c r="D17" s="64" t="s">
        <v>79</v>
      </c>
      <c r="E17" s="65">
        <v>0.23222221592092304</v>
      </c>
      <c r="F17" s="65">
        <v>0.22130082437330106</v>
      </c>
      <c r="G17" s="66">
        <v>0</v>
      </c>
      <c r="H17" s="67">
        <v>1109.3735999999999</v>
      </c>
      <c r="I17" s="68">
        <v>28.635999999999999</v>
      </c>
      <c r="J17" s="68">
        <v>14.856999999999999</v>
      </c>
      <c r="K17" s="69">
        <v>59.306199999999997</v>
      </c>
      <c r="L17" s="70">
        <f t="shared" si="0"/>
        <v>44.449199999999998</v>
      </c>
    </row>
    <row r="18" spans="1:12" x14ac:dyDescent="0.25">
      <c r="A18" s="63" t="s">
        <v>94</v>
      </c>
      <c r="B18" s="64" t="s">
        <v>78</v>
      </c>
      <c r="C18" s="64">
        <v>2036</v>
      </c>
      <c r="D18" s="64" t="s">
        <v>79</v>
      </c>
      <c r="E18" s="65">
        <v>0.23226587301587304</v>
      </c>
      <c r="F18" s="65">
        <v>0.2213034572601621</v>
      </c>
      <c r="G18" s="66">
        <v>0</v>
      </c>
      <c r="H18" s="67">
        <v>1108.3231000000001</v>
      </c>
      <c r="I18" s="68">
        <v>29.069800000000001</v>
      </c>
      <c r="J18" s="68">
        <v>15.083600000000001</v>
      </c>
      <c r="K18" s="69">
        <v>59.499299999999998</v>
      </c>
      <c r="L18" s="70">
        <f t="shared" si="0"/>
        <v>44.415700000000001</v>
      </c>
    </row>
    <row r="19" spans="1:12" x14ac:dyDescent="0.25">
      <c r="A19" s="63" t="s">
        <v>95</v>
      </c>
      <c r="B19" s="64" t="s">
        <v>78</v>
      </c>
      <c r="C19" s="64">
        <v>2037</v>
      </c>
      <c r="D19" s="64" t="s">
        <v>79</v>
      </c>
      <c r="E19" s="65">
        <v>0.23226587301587304</v>
      </c>
      <c r="F19" s="65">
        <v>0.22130277674153734</v>
      </c>
      <c r="G19" s="66">
        <v>0</v>
      </c>
      <c r="H19" s="67">
        <v>1106.6985</v>
      </c>
      <c r="I19" s="68">
        <v>29.508400000000002</v>
      </c>
      <c r="J19" s="68">
        <v>15.3103</v>
      </c>
      <c r="K19" s="69">
        <v>59.658700000000003</v>
      </c>
      <c r="L19" s="70">
        <f t="shared" si="0"/>
        <v>44.348400000000005</v>
      </c>
    </row>
    <row r="20" spans="1:12" x14ac:dyDescent="0.25">
      <c r="A20" s="63" t="s">
        <v>96</v>
      </c>
      <c r="B20" s="64" t="s">
        <v>78</v>
      </c>
      <c r="C20" s="64">
        <v>2038</v>
      </c>
      <c r="D20" s="64" t="s">
        <v>79</v>
      </c>
      <c r="E20" s="65">
        <v>0.23226587301587304</v>
      </c>
      <c r="F20" s="65">
        <v>0.22130164049958945</v>
      </c>
      <c r="G20" s="66">
        <v>0</v>
      </c>
      <c r="H20" s="67">
        <v>1105.9670000000001</v>
      </c>
      <c r="I20" s="68">
        <v>29.956399999999999</v>
      </c>
      <c r="J20" s="68">
        <v>15.5411</v>
      </c>
      <c r="K20" s="69">
        <v>59.857700000000001</v>
      </c>
      <c r="L20" s="70">
        <f t="shared" si="0"/>
        <v>44.316600000000001</v>
      </c>
    </row>
    <row r="21" spans="1:12" x14ac:dyDescent="0.25">
      <c r="A21" s="63" t="s">
        <v>97</v>
      </c>
      <c r="B21" s="64" t="s">
        <v>78</v>
      </c>
      <c r="C21" s="64">
        <v>2039</v>
      </c>
      <c r="D21" s="64" t="s">
        <v>79</v>
      </c>
      <c r="E21" s="65">
        <v>0.23222221592092304</v>
      </c>
      <c r="F21" s="65">
        <v>0.22130082437330106</v>
      </c>
      <c r="G21" s="66">
        <v>0</v>
      </c>
      <c r="H21" s="67">
        <v>1105.0023000000001</v>
      </c>
      <c r="I21" s="68">
        <v>30.409800000000001</v>
      </c>
      <c r="J21" s="68">
        <v>15.7752</v>
      </c>
      <c r="K21" s="69">
        <v>60.049300000000002</v>
      </c>
      <c r="L21" s="70">
        <f t="shared" si="0"/>
        <v>44.274100000000004</v>
      </c>
    </row>
    <row r="22" spans="1:12" x14ac:dyDescent="0.25">
      <c r="A22" s="63" t="s">
        <v>98</v>
      </c>
      <c r="B22" s="64" t="s">
        <v>78</v>
      </c>
      <c r="C22" s="64">
        <v>2040</v>
      </c>
      <c r="D22" s="64" t="s">
        <v>79</v>
      </c>
      <c r="E22" s="65">
        <v>0.23226587301587304</v>
      </c>
      <c r="F22" s="65">
        <v>0.2213034572601621</v>
      </c>
      <c r="G22" s="66">
        <v>0</v>
      </c>
      <c r="H22" s="67">
        <v>1104.8809000000001</v>
      </c>
      <c r="I22" s="68">
        <v>30.870100000000001</v>
      </c>
      <c r="J22" s="68">
        <v>16.0153</v>
      </c>
      <c r="K22" s="69">
        <v>60.293100000000003</v>
      </c>
      <c r="L22" s="70">
        <f t="shared" si="0"/>
        <v>44.277799999999999</v>
      </c>
    </row>
    <row r="23" spans="1:12" x14ac:dyDescent="0.25">
      <c r="A23" s="63" t="s">
        <v>99</v>
      </c>
      <c r="B23" s="64" t="s">
        <v>78</v>
      </c>
      <c r="C23" s="64">
        <v>2041</v>
      </c>
      <c r="D23" s="64" t="s">
        <v>79</v>
      </c>
      <c r="E23" s="65">
        <v>0.23226587301587304</v>
      </c>
      <c r="F23" s="65">
        <v>0.22130277674153734</v>
      </c>
      <c r="G23" s="66">
        <v>0</v>
      </c>
      <c r="H23" s="67">
        <v>1105.454</v>
      </c>
      <c r="I23" s="68">
        <v>31.336400000000001</v>
      </c>
      <c r="J23" s="68">
        <v>16.256</v>
      </c>
      <c r="K23" s="69">
        <v>60.554600000000001</v>
      </c>
      <c r="L23" s="70">
        <f t="shared" si="0"/>
        <v>44.2986</v>
      </c>
    </row>
    <row r="24" spans="1:12" x14ac:dyDescent="0.25">
      <c r="A24" s="63" t="s">
        <v>100</v>
      </c>
      <c r="B24" s="64" t="s">
        <v>78</v>
      </c>
      <c r="C24" s="64">
        <v>2042</v>
      </c>
      <c r="D24" s="64" t="s">
        <v>79</v>
      </c>
      <c r="E24" s="65">
        <v>0.23226587301587304</v>
      </c>
      <c r="F24" s="65">
        <v>0.22130164049958945</v>
      </c>
      <c r="G24" s="66">
        <v>0</v>
      </c>
      <c r="H24" s="67">
        <v>1106.8788999999999</v>
      </c>
      <c r="I24" s="68">
        <v>31.808900000000001</v>
      </c>
      <c r="J24" s="68">
        <v>16.499300000000002</v>
      </c>
      <c r="K24" s="69">
        <v>60.852400000000003</v>
      </c>
      <c r="L24" s="70">
        <f t="shared" si="0"/>
        <v>44.353099999999998</v>
      </c>
    </row>
    <row r="25" spans="1:12" x14ac:dyDescent="0.25">
      <c r="A25" s="63" t="s">
        <v>101</v>
      </c>
      <c r="B25" s="64" t="s">
        <v>78</v>
      </c>
      <c r="C25" s="64">
        <v>2043</v>
      </c>
      <c r="D25" s="64" t="s">
        <v>79</v>
      </c>
      <c r="E25" s="65">
        <v>0.23222221592092304</v>
      </c>
      <c r="F25" s="65">
        <v>0.22130082437330106</v>
      </c>
      <c r="G25" s="66">
        <v>0</v>
      </c>
      <c r="H25" s="67">
        <v>1107.6639</v>
      </c>
      <c r="I25" s="68">
        <v>32.2819</v>
      </c>
      <c r="J25" s="68">
        <v>16.743300000000001</v>
      </c>
      <c r="K25" s="69">
        <v>61.124000000000002</v>
      </c>
      <c r="L25" s="70">
        <f t="shared" si="0"/>
        <v>44.380700000000004</v>
      </c>
    </row>
    <row r="26" spans="1:12" x14ac:dyDescent="0.25">
      <c r="A26" s="63" t="s">
        <v>102</v>
      </c>
      <c r="B26" s="64" t="s">
        <v>78</v>
      </c>
      <c r="C26" s="64">
        <v>2044</v>
      </c>
      <c r="D26" s="64" t="s">
        <v>79</v>
      </c>
      <c r="E26" s="65">
        <v>0.23226587301587304</v>
      </c>
      <c r="F26" s="65">
        <v>0.2213034572601621</v>
      </c>
      <c r="G26" s="66">
        <v>0</v>
      </c>
      <c r="H26" s="67">
        <v>1108.4028000000001</v>
      </c>
      <c r="I26" s="68">
        <v>32.7577</v>
      </c>
      <c r="J26" s="68">
        <v>16.991399999999999</v>
      </c>
      <c r="K26" s="69">
        <v>61.410299999999999</v>
      </c>
      <c r="L26" s="70">
        <f t="shared" si="0"/>
        <v>44.418900000000001</v>
      </c>
    </row>
    <row r="27" spans="1:12" x14ac:dyDescent="0.25">
      <c r="A27" s="63" t="s">
        <v>103</v>
      </c>
      <c r="B27" s="64" t="s">
        <v>78</v>
      </c>
      <c r="C27" s="64">
        <v>2045</v>
      </c>
      <c r="D27" s="64" t="s">
        <v>79</v>
      </c>
      <c r="E27" s="65">
        <v>0.23226587301587304</v>
      </c>
      <c r="F27" s="65">
        <v>0.22130277674153734</v>
      </c>
      <c r="G27" s="66">
        <v>0</v>
      </c>
      <c r="H27" s="67">
        <v>1108.7553</v>
      </c>
      <c r="I27" s="68">
        <v>33.2348</v>
      </c>
      <c r="J27" s="68">
        <v>17.2376</v>
      </c>
      <c r="K27" s="69">
        <v>61.668500000000002</v>
      </c>
      <c r="L27" s="70">
        <f t="shared" si="0"/>
        <v>44.430900000000001</v>
      </c>
    </row>
    <row r="28" spans="1:12" x14ac:dyDescent="0.25">
      <c r="A28" s="63" t="s">
        <v>104</v>
      </c>
      <c r="B28" s="64" t="s">
        <v>78</v>
      </c>
      <c r="C28" s="64">
        <v>2046</v>
      </c>
      <c r="D28" s="64" t="s">
        <v>79</v>
      </c>
      <c r="E28" s="65">
        <v>0.23226587301587304</v>
      </c>
      <c r="F28" s="65">
        <v>0.22130164049958945</v>
      </c>
      <c r="G28" s="66">
        <v>0</v>
      </c>
      <c r="H28" s="67">
        <v>1108.6509000000001</v>
      </c>
      <c r="I28" s="68">
        <v>33.712899999999998</v>
      </c>
      <c r="J28" s="68">
        <v>17.483599999999999</v>
      </c>
      <c r="K28" s="69">
        <v>61.907699999999998</v>
      </c>
      <c r="L28" s="70">
        <f t="shared" si="0"/>
        <v>44.424099999999996</v>
      </c>
    </row>
    <row r="29" spans="1:12" x14ac:dyDescent="0.25">
      <c r="A29" s="63" t="s">
        <v>105</v>
      </c>
      <c r="B29" s="64" t="s">
        <v>78</v>
      </c>
      <c r="C29" s="64">
        <v>2047</v>
      </c>
      <c r="D29" s="64" t="s">
        <v>79</v>
      </c>
      <c r="E29" s="65">
        <v>0.23222221592092304</v>
      </c>
      <c r="F29" s="65">
        <v>0.22130082437330106</v>
      </c>
      <c r="G29" s="66">
        <v>0</v>
      </c>
      <c r="H29" s="67">
        <v>1107.7973</v>
      </c>
      <c r="I29" s="68">
        <v>34.1905</v>
      </c>
      <c r="J29" s="68">
        <v>17.729800000000001</v>
      </c>
      <c r="K29" s="69">
        <v>62.115900000000003</v>
      </c>
      <c r="L29" s="70">
        <f t="shared" si="0"/>
        <v>44.386099999999999</v>
      </c>
    </row>
    <row r="30" spans="1:12" x14ac:dyDescent="0.25">
      <c r="A30" s="63" t="s">
        <v>106</v>
      </c>
      <c r="B30" s="64" t="s">
        <v>78</v>
      </c>
      <c r="C30" s="64">
        <v>2048</v>
      </c>
      <c r="D30" s="64" t="s">
        <v>79</v>
      </c>
      <c r="E30" s="65">
        <v>0.23226587301587304</v>
      </c>
      <c r="F30" s="65">
        <v>0.2213034572601621</v>
      </c>
      <c r="G30" s="66">
        <v>0</v>
      </c>
      <c r="H30" s="67">
        <v>1107.8364999999999</v>
      </c>
      <c r="I30" s="68">
        <v>34.672400000000003</v>
      </c>
      <c r="J30" s="68">
        <v>17.981200000000001</v>
      </c>
      <c r="K30" s="69">
        <v>62.377400000000002</v>
      </c>
      <c r="L30" s="70">
        <f t="shared" si="0"/>
        <v>44.3962</v>
      </c>
    </row>
    <row r="31" spans="1:12" x14ac:dyDescent="0.25">
      <c r="A31" s="63" t="s">
        <v>107</v>
      </c>
      <c r="B31" s="64" t="s">
        <v>78</v>
      </c>
      <c r="C31" s="64">
        <v>2049</v>
      </c>
      <c r="D31" s="64" t="s">
        <v>79</v>
      </c>
      <c r="E31" s="65">
        <v>0.23226587301587304</v>
      </c>
      <c r="F31" s="65">
        <v>0.22130277674153734</v>
      </c>
      <c r="G31" s="66">
        <v>0</v>
      </c>
      <c r="H31" s="67">
        <v>1107.421</v>
      </c>
      <c r="I31" s="68">
        <v>35.154200000000003</v>
      </c>
      <c r="J31" s="68">
        <v>18.229800000000001</v>
      </c>
      <c r="K31" s="69">
        <v>62.607199999999999</v>
      </c>
      <c r="L31" s="70">
        <f t="shared" si="0"/>
        <v>44.377399999999994</v>
      </c>
    </row>
    <row r="32" spans="1:12" x14ac:dyDescent="0.25">
      <c r="A32" s="63" t="s">
        <v>108</v>
      </c>
      <c r="B32" s="64" t="s">
        <v>78</v>
      </c>
      <c r="C32" s="64">
        <v>2050</v>
      </c>
      <c r="D32" s="64" t="s">
        <v>79</v>
      </c>
      <c r="E32" s="65">
        <v>0.23226587301587304</v>
      </c>
      <c r="F32" s="65">
        <v>0.22130164049958945</v>
      </c>
      <c r="G32" s="66">
        <v>0</v>
      </c>
      <c r="H32" s="67">
        <v>1106.0523000000001</v>
      </c>
      <c r="I32" s="68">
        <v>35.635199999999998</v>
      </c>
      <c r="J32" s="68">
        <v>18.4771</v>
      </c>
      <c r="K32" s="69">
        <v>62.7971</v>
      </c>
      <c r="L32" s="70">
        <f t="shared" si="0"/>
        <v>44.32</v>
      </c>
    </row>
  </sheetData>
  <pageMargins left="0.7" right="0.7" top="0.75" bottom="0.75" header="0.3" footer="0.3"/>
  <pageSetup scale="75" orientation="portrait" r:id="rId1"/>
  <headerFooter>
    <oddHeader>&amp;RKPSC Case No. 2021-00004
Sierra Club Second Set of Data Requests
Dated April 20, 2021
Item No. 5
Attachment1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A37848C5-E206-4061-ABB7-E405A424C9F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Tier 1 Solar Build Cost</vt:lpstr>
      <vt:lpstr>Solar Prices</vt:lpstr>
      <vt:lpstr>KPCo</vt:lpstr>
      <vt:lpstr>SOLAR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Becker</dc:creator>
  <cp:keywords/>
  <cp:lastModifiedBy>s998095</cp:lastModifiedBy>
  <cp:lastPrinted>2021-05-03T12:35:30Z</cp:lastPrinted>
  <dcterms:created xsi:type="dcterms:W3CDTF">2014-10-13T14:24:17Z</dcterms:created>
  <dcterms:modified xsi:type="dcterms:W3CDTF">2021-05-03T12:36:45Z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148c7c7a-2ded-454a-9605-ffff7840273c</vt:lpwstr>
  </property>
  <property fmtid="{D5CDD505-2E9C-101B-9397-08002B2CF9AE}" pid="3" name="bjSaver">
    <vt:lpwstr>gQpYI2EEEk45fng9JrZZtGLkTVH3/bsP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  <property fmtid="{D5CDD505-2E9C-101B-9397-08002B2CF9AE}" pid="8" name="{A44787D4-0540-4523-9961-78E4036D8C6D}">
    <vt:lpwstr>{705FC81A-843A-4D05-906E-969C82A15544}</vt:lpwstr>
  </property>
</Properties>
</file>