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ld\Google Drive\CLIENTS\Sierra Club\Kentucky Power\2021-4 CPCN Case\"/>
    </mc:Choice>
  </mc:AlternateContent>
  <xr:revisionPtr revIDLastSave="0" documentId="8_{99004147-B17F-4301-87E7-00CBA7FA28E4}" xr6:coauthVersionLast="46" xr6:coauthVersionMax="46" xr10:uidLastSave="{00000000-0000-0000-0000-000000000000}"/>
  <bookViews>
    <workbookView xWindow="-108" yWindow="-108" windowWidth="23256" windowHeight="13404" xr2:uid="{93358692-86A8-403D-B809-DB81861B599E}"/>
  </bookViews>
  <sheets>
    <sheet name="NREL_levelized" sheetId="2" r:id="rId1"/>
    <sheet name="NREL ATB Storage" sheetId="1" r:id="rId2"/>
    <sheet name="Sheet1" sheetId="3" r:id="rId3"/>
    <sheet name="Deflator" sheetId="4" r:id="rId4"/>
  </sheets>
  <externalReferences>
    <externalReference r:id="rId5"/>
    <externalReference r:id="rId6"/>
    <externalReference r:id="rId7"/>
    <externalReference r:id="rId8"/>
  </externalReferences>
  <definedNames>
    <definedName name="Capacity_S">'[1]Unit Assumptions'!$E$3</definedName>
    <definedName name="Capacity_W">'[1]Unit Assumptions'!$F$3</definedName>
    <definedName name="CapEsc">#REF!</definedName>
    <definedName name="CapProfile">'[1]Unit Assumptions'!$B$10:$C$21</definedName>
    <definedName name="CIG">#REF!</definedName>
    <definedName name="CIGBasis">#REF!</definedName>
    <definedName name="cigbasiscurve">#REF!</definedName>
    <definedName name="CostInserv">#REF!</definedName>
    <definedName name="CostYear">'[1]Unit Assumptions'!$E$5</definedName>
    <definedName name="DebtRate">#REF!</definedName>
    <definedName name="DebtRatio">#REF!</definedName>
    <definedName name="DemandAverages">#REF!</definedName>
    <definedName name="DemandAverages2014To2020">#REF!</definedName>
    <definedName name="DemandAverages2021To2027">#REF!</definedName>
    <definedName name="DemandAverages2028To2030">#REF!</definedName>
    <definedName name="discount_rate">#REF!</definedName>
    <definedName name="DiscRate">#REF!</definedName>
    <definedName name="EqRate">#REF!</definedName>
    <definedName name="EqRatio">#REF!</definedName>
    <definedName name="ErrorSum">#REF!</definedName>
    <definedName name="HeatRate">'[1]Unit Assumptions'!$J$3</definedName>
    <definedName name="hub_ratio">#REF!</definedName>
    <definedName name="Inflation_Rate">[2]Summary!$E$10</definedName>
    <definedName name="InServ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CRate">#REF!</definedName>
    <definedName name="MonthlyForwards">#REF!</definedName>
    <definedName name="NYMEXSeasonality">#REF!</definedName>
    <definedName name="PSRate">#REF!</definedName>
    <definedName name="PSRatio">#REF!</definedName>
    <definedName name="shortton_per_metricton">[3]Charts!$BH$59</definedName>
    <definedName name="TaxLife">#REF!</definedName>
    <definedName name="TaxOther">#REF!</definedName>
    <definedName name="TaxRate">#REF!</definedName>
    <definedName name="VOM">'[1]Unit Assumptions'!$I$3</definedName>
    <definedName name="WACC">'[4]Xcel Battery'!$F$4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" l="1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F13" i="3"/>
  <c r="H8" i="3" l="1"/>
  <c r="J8" i="3"/>
  <c r="C27" i="4"/>
  <c r="C28" i="4" s="1"/>
  <c r="F26" i="4"/>
  <c r="E26" i="4"/>
  <c r="D26" i="4"/>
  <c r="F25" i="4"/>
  <c r="E25" i="4"/>
  <c r="D25" i="4"/>
  <c r="F24" i="4"/>
  <c r="E24" i="4"/>
  <c r="G8" i="3" s="1"/>
  <c r="D24" i="4"/>
  <c r="F23" i="4"/>
  <c r="E23" i="4"/>
  <c r="D23" i="4"/>
  <c r="F22" i="4"/>
  <c r="E22" i="4"/>
  <c r="D22" i="4"/>
  <c r="F21" i="4"/>
  <c r="E21" i="4"/>
  <c r="D21" i="4"/>
  <c r="F20" i="4"/>
  <c r="E20" i="4"/>
  <c r="D20" i="4"/>
  <c r="F19" i="4"/>
  <c r="E19" i="4"/>
  <c r="D19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2" i="4"/>
  <c r="E12" i="4"/>
  <c r="D12" i="4"/>
  <c r="F11" i="4"/>
  <c r="E11" i="4"/>
  <c r="D11" i="4"/>
  <c r="F10" i="4"/>
  <c r="E10" i="4"/>
  <c r="D10" i="4"/>
  <c r="F9" i="4"/>
  <c r="E9" i="4"/>
  <c r="D9" i="4"/>
  <c r="F8" i="4"/>
  <c r="E8" i="4"/>
  <c r="D8" i="4"/>
  <c r="H7" i="4"/>
  <c r="F7" i="4"/>
  <c r="E7" i="4"/>
  <c r="D7" i="4"/>
  <c r="F6" i="4"/>
  <c r="E6" i="4"/>
  <c r="F6" i="3" l="1"/>
  <c r="F12" i="3" s="1"/>
  <c r="V6" i="3"/>
  <c r="V12" i="3" s="1"/>
  <c r="R6" i="3"/>
  <c r="R12" i="3" s="1"/>
  <c r="N6" i="3"/>
  <c r="N12" i="3" s="1"/>
  <c r="J6" i="3"/>
  <c r="J12" i="3" s="1"/>
  <c r="F8" i="3"/>
  <c r="V8" i="3"/>
  <c r="R8" i="3"/>
  <c r="N8" i="3"/>
  <c r="Y6" i="3"/>
  <c r="Y12" i="3" s="1"/>
  <c r="U6" i="3"/>
  <c r="U12" i="3" s="1"/>
  <c r="Q6" i="3"/>
  <c r="Q12" i="3" s="1"/>
  <c r="M6" i="3"/>
  <c r="M12" i="3" s="1"/>
  <c r="I6" i="3"/>
  <c r="I12" i="3" s="1"/>
  <c r="Y8" i="3"/>
  <c r="U8" i="3"/>
  <c r="Q8" i="3"/>
  <c r="M8" i="3"/>
  <c r="I8" i="3"/>
  <c r="X6" i="3"/>
  <c r="X12" i="3" s="1"/>
  <c r="T6" i="3"/>
  <c r="T12" i="3" s="1"/>
  <c r="P6" i="3"/>
  <c r="P12" i="3" s="1"/>
  <c r="L6" i="3"/>
  <c r="L12" i="3" s="1"/>
  <c r="H6" i="3"/>
  <c r="H12" i="3" s="1"/>
  <c r="X8" i="3"/>
  <c r="T8" i="3"/>
  <c r="P8" i="3"/>
  <c r="L8" i="3"/>
  <c r="E27" i="4"/>
  <c r="W6" i="3"/>
  <c r="W12" i="3" s="1"/>
  <c r="S6" i="3"/>
  <c r="S12" i="3" s="1"/>
  <c r="O6" i="3"/>
  <c r="O12" i="3" s="1"/>
  <c r="K6" i="3"/>
  <c r="K12" i="3" s="1"/>
  <c r="G6" i="3"/>
  <c r="G12" i="3" s="1"/>
  <c r="W8" i="3"/>
  <c r="S8" i="3"/>
  <c r="O8" i="3"/>
  <c r="K8" i="3"/>
  <c r="F28" i="4"/>
  <c r="E28" i="4"/>
  <c r="D28" i="4"/>
  <c r="C29" i="4"/>
  <c r="D27" i="4"/>
  <c r="F27" i="4"/>
  <c r="C30" i="4" l="1"/>
  <c r="F29" i="4"/>
  <c r="E29" i="4"/>
  <c r="D29" i="4"/>
  <c r="C12" i="2"/>
  <c r="F30" i="4" l="1"/>
  <c r="E30" i="4"/>
  <c r="D30" i="4"/>
  <c r="C31" i="4"/>
  <c r="AX11" i="1"/>
  <c r="E31" i="4" l="1"/>
  <c r="C32" i="4"/>
  <c r="F31" i="4"/>
  <c r="D31" i="4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F74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F72" i="2"/>
  <c r="F71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F46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F44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F43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F20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F22" i="2"/>
  <c r="F32" i="4" l="1"/>
  <c r="E32" i="4"/>
  <c r="D32" i="4"/>
  <c r="C33" i="4"/>
  <c r="C6" i="2"/>
  <c r="C11" i="2" s="1"/>
  <c r="F75" i="2"/>
  <c r="F47" i="2"/>
  <c r="G19" i="2"/>
  <c r="H19" i="2"/>
  <c r="H23" i="2" s="1"/>
  <c r="H33" i="2" s="1"/>
  <c r="I19" i="2"/>
  <c r="I23" i="2" s="1"/>
  <c r="I33" i="2" s="1"/>
  <c r="J19" i="2"/>
  <c r="J23" i="2" s="1"/>
  <c r="J33" i="2" s="1"/>
  <c r="K19" i="2"/>
  <c r="K23" i="2" s="1"/>
  <c r="K33" i="2" s="1"/>
  <c r="L19" i="2"/>
  <c r="M19" i="2"/>
  <c r="M23" i="2" s="1"/>
  <c r="M33" i="2" s="1"/>
  <c r="N19" i="2"/>
  <c r="N23" i="2" s="1"/>
  <c r="N33" i="2" s="1"/>
  <c r="O19" i="2"/>
  <c r="O23" i="2" s="1"/>
  <c r="O33" i="2" s="1"/>
  <c r="P19" i="2"/>
  <c r="P23" i="2" s="1"/>
  <c r="P33" i="2" s="1"/>
  <c r="Q19" i="2"/>
  <c r="Q23" i="2" s="1"/>
  <c r="Q33" i="2" s="1"/>
  <c r="R19" i="2"/>
  <c r="R23" i="2" s="1"/>
  <c r="R33" i="2" s="1"/>
  <c r="S19" i="2"/>
  <c r="S23" i="2" s="1"/>
  <c r="S33" i="2" s="1"/>
  <c r="T19" i="2"/>
  <c r="U19" i="2"/>
  <c r="U23" i="2" s="1"/>
  <c r="U33" i="2" s="1"/>
  <c r="V19" i="2"/>
  <c r="V23" i="2" s="1"/>
  <c r="V33" i="2" s="1"/>
  <c r="W19" i="2"/>
  <c r="W23" i="2" s="1"/>
  <c r="W33" i="2" s="1"/>
  <c r="X19" i="2"/>
  <c r="X23" i="2" s="1"/>
  <c r="X33" i="2" s="1"/>
  <c r="Y19" i="2"/>
  <c r="Y23" i="2" s="1"/>
  <c r="Y33" i="2" s="1"/>
  <c r="Z19" i="2"/>
  <c r="Z23" i="2" s="1"/>
  <c r="Z33" i="2" s="1"/>
  <c r="AA19" i="2"/>
  <c r="AA23" i="2" s="1"/>
  <c r="AA33" i="2" s="1"/>
  <c r="AB19" i="2"/>
  <c r="AC19" i="2"/>
  <c r="AC23" i="2" s="1"/>
  <c r="AC33" i="2" s="1"/>
  <c r="AD19" i="2"/>
  <c r="AD23" i="2" s="1"/>
  <c r="AD33" i="2" s="1"/>
  <c r="AE19" i="2"/>
  <c r="AE23" i="2" s="1"/>
  <c r="AE33" i="2" s="1"/>
  <c r="AF19" i="2"/>
  <c r="AF23" i="2" s="1"/>
  <c r="AF33" i="2" s="1"/>
  <c r="AG19" i="2"/>
  <c r="AG23" i="2" s="1"/>
  <c r="AG33" i="2" s="1"/>
  <c r="AH19" i="2"/>
  <c r="AH23" i="2" s="1"/>
  <c r="AH33" i="2" s="1"/>
  <c r="AI19" i="2"/>
  <c r="AI23" i="2" s="1"/>
  <c r="AI33" i="2" s="1"/>
  <c r="AJ19" i="2"/>
  <c r="F19" i="2"/>
  <c r="F23" i="2" s="1"/>
  <c r="F33" i="2" s="1"/>
  <c r="AI75" i="2"/>
  <c r="AG75" i="2"/>
  <c r="AA75" i="2"/>
  <c r="Y75" i="2"/>
  <c r="S75" i="2"/>
  <c r="Q75" i="2"/>
  <c r="K75" i="2"/>
  <c r="I75" i="2"/>
  <c r="AD75" i="2"/>
  <c r="V75" i="2"/>
  <c r="N75" i="2"/>
  <c r="AJ75" i="2"/>
  <c r="AH75" i="2"/>
  <c r="AF75" i="2"/>
  <c r="AE75" i="2"/>
  <c r="AC75" i="2"/>
  <c r="AB75" i="2"/>
  <c r="Z75" i="2"/>
  <c r="X75" i="2"/>
  <c r="W75" i="2"/>
  <c r="U75" i="2"/>
  <c r="T75" i="2"/>
  <c r="R75" i="2"/>
  <c r="P75" i="2"/>
  <c r="O75" i="2"/>
  <c r="M75" i="2"/>
  <c r="L75" i="2"/>
  <c r="J75" i="2"/>
  <c r="H75" i="2"/>
  <c r="G75" i="2"/>
  <c r="AH47" i="2"/>
  <c r="AH57" i="2" s="1"/>
  <c r="AF47" i="2"/>
  <c r="AF57" i="2" s="1"/>
  <c r="Z47" i="2"/>
  <c r="Z57" i="2" s="1"/>
  <c r="X47" i="2"/>
  <c r="X57" i="2" s="1"/>
  <c r="R47" i="2"/>
  <c r="R57" i="2" s="1"/>
  <c r="P47" i="2"/>
  <c r="P57" i="2" s="1"/>
  <c r="J47" i="2"/>
  <c r="J57" i="2" s="1"/>
  <c r="H47" i="2"/>
  <c r="H57" i="2" s="1"/>
  <c r="AC47" i="2"/>
  <c r="AC57" i="2" s="1"/>
  <c r="U47" i="2"/>
  <c r="U57" i="2" s="1"/>
  <c r="M47" i="2"/>
  <c r="M57" i="2" s="1"/>
  <c r="AJ47" i="2"/>
  <c r="AJ57" i="2" s="1"/>
  <c r="AI47" i="2"/>
  <c r="AI57" i="2" s="1"/>
  <c r="AG47" i="2"/>
  <c r="AG57" i="2" s="1"/>
  <c r="AE47" i="2"/>
  <c r="AE57" i="2" s="1"/>
  <c r="AD47" i="2"/>
  <c r="AD57" i="2" s="1"/>
  <c r="AB47" i="2"/>
  <c r="AB57" i="2" s="1"/>
  <c r="AA47" i="2"/>
  <c r="AA57" i="2" s="1"/>
  <c r="Y47" i="2"/>
  <c r="Y57" i="2" s="1"/>
  <c r="W47" i="2"/>
  <c r="W57" i="2" s="1"/>
  <c r="V47" i="2"/>
  <c r="V57" i="2" s="1"/>
  <c r="T47" i="2"/>
  <c r="T57" i="2" s="1"/>
  <c r="S47" i="2"/>
  <c r="S57" i="2" s="1"/>
  <c r="Q47" i="2"/>
  <c r="Q57" i="2" s="1"/>
  <c r="O47" i="2"/>
  <c r="O57" i="2" s="1"/>
  <c r="N47" i="2"/>
  <c r="N57" i="2" s="1"/>
  <c r="L47" i="2"/>
  <c r="L57" i="2" s="1"/>
  <c r="K47" i="2"/>
  <c r="K57" i="2" s="1"/>
  <c r="I47" i="2"/>
  <c r="I57" i="2" s="1"/>
  <c r="G47" i="2"/>
  <c r="G57" i="2" s="1"/>
  <c r="G23" i="2"/>
  <c r="G33" i="2" s="1"/>
  <c r="AX21" i="1"/>
  <c r="AX20" i="1" s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AR12" i="1"/>
  <c r="AR22" i="1" s="1"/>
  <c r="AQ12" i="1"/>
  <c r="AQ22" i="1" s="1"/>
  <c r="AP12" i="1"/>
  <c r="AP22" i="1" s="1"/>
  <c r="AO12" i="1"/>
  <c r="AO19" i="1" s="1"/>
  <c r="AG73" i="2" s="1"/>
  <c r="AN12" i="1"/>
  <c r="AN19" i="1" s="1"/>
  <c r="AF73" i="2" s="1"/>
  <c r="AM12" i="1"/>
  <c r="AM19" i="1" s="1"/>
  <c r="AE73" i="2" s="1"/>
  <c r="AL12" i="1"/>
  <c r="AL19" i="1" s="1"/>
  <c r="AD73" i="2" s="1"/>
  <c r="AK12" i="1"/>
  <c r="AK22" i="1" s="1"/>
  <c r="AJ12" i="1"/>
  <c r="AJ22" i="1" s="1"/>
  <c r="AI12" i="1"/>
  <c r="AI22" i="1" s="1"/>
  <c r="AH12" i="1"/>
  <c r="AH22" i="1" s="1"/>
  <c r="AG12" i="1"/>
  <c r="AG19" i="1" s="1"/>
  <c r="Y73" i="2" s="1"/>
  <c r="AF12" i="1"/>
  <c r="AF19" i="1" s="1"/>
  <c r="X73" i="2" s="1"/>
  <c r="AE12" i="1"/>
  <c r="AE19" i="1" s="1"/>
  <c r="W73" i="2" s="1"/>
  <c r="AD12" i="1"/>
  <c r="AD19" i="1" s="1"/>
  <c r="V73" i="2" s="1"/>
  <c r="AC12" i="1"/>
  <c r="AC22" i="1" s="1"/>
  <c r="AB12" i="1"/>
  <c r="AB22" i="1" s="1"/>
  <c r="AA12" i="1"/>
  <c r="AA22" i="1" s="1"/>
  <c r="Z12" i="1"/>
  <c r="Z22" i="1" s="1"/>
  <c r="Y12" i="1"/>
  <c r="Y19" i="1" s="1"/>
  <c r="Q73" i="2" s="1"/>
  <c r="X12" i="1"/>
  <c r="X19" i="1" s="1"/>
  <c r="P73" i="2" s="1"/>
  <c r="W12" i="1"/>
  <c r="W19" i="1" s="1"/>
  <c r="O73" i="2" s="1"/>
  <c r="V12" i="1"/>
  <c r="V19" i="1" s="1"/>
  <c r="N73" i="2" s="1"/>
  <c r="U12" i="1"/>
  <c r="U22" i="1" s="1"/>
  <c r="T12" i="1"/>
  <c r="T22" i="1" s="1"/>
  <c r="S12" i="1"/>
  <c r="S22" i="1" s="1"/>
  <c r="R12" i="1"/>
  <c r="R22" i="1" s="1"/>
  <c r="Q12" i="1"/>
  <c r="Q19" i="1" s="1"/>
  <c r="I73" i="2" s="1"/>
  <c r="P12" i="1"/>
  <c r="P19" i="1" s="1"/>
  <c r="H73" i="2" s="1"/>
  <c r="O12" i="1"/>
  <c r="O19" i="1" s="1"/>
  <c r="G73" i="2" s="1"/>
  <c r="N12" i="1"/>
  <c r="N19" i="1" s="1"/>
  <c r="F73" i="2" s="1"/>
  <c r="M12" i="1"/>
  <c r="M22" i="1" s="1"/>
  <c r="L14" i="1"/>
  <c r="AR11" i="1"/>
  <c r="AR21" i="1" s="1"/>
  <c r="AQ11" i="1"/>
  <c r="AQ18" i="1" s="1"/>
  <c r="AI21" i="2" s="1"/>
  <c r="AP11" i="1"/>
  <c r="AP18" i="1" s="1"/>
  <c r="AH21" i="2" s="1"/>
  <c r="AO11" i="1"/>
  <c r="AO18" i="1" s="1"/>
  <c r="AG21" i="2" s="1"/>
  <c r="AN11" i="1"/>
  <c r="AN18" i="1" s="1"/>
  <c r="AF21" i="2" s="1"/>
  <c r="AM11" i="1"/>
  <c r="AM21" i="1" s="1"/>
  <c r="AL11" i="1"/>
  <c r="AL21" i="1" s="1"/>
  <c r="AK11" i="1"/>
  <c r="AK21" i="1" s="1"/>
  <c r="AJ11" i="1"/>
  <c r="AJ21" i="1" s="1"/>
  <c r="AI11" i="1"/>
  <c r="AI18" i="1" s="1"/>
  <c r="AA21" i="2" s="1"/>
  <c r="AH11" i="1"/>
  <c r="AH18" i="1" s="1"/>
  <c r="Z21" i="2" s="1"/>
  <c r="AG11" i="1"/>
  <c r="AG18" i="1" s="1"/>
  <c r="Y21" i="2" s="1"/>
  <c r="AF11" i="1"/>
  <c r="AF18" i="1" s="1"/>
  <c r="X21" i="2" s="1"/>
  <c r="AE11" i="1"/>
  <c r="AE21" i="1" s="1"/>
  <c r="AD11" i="1"/>
  <c r="AD21" i="1" s="1"/>
  <c r="AC11" i="1"/>
  <c r="AC21" i="1" s="1"/>
  <c r="AB11" i="1"/>
  <c r="AB21" i="1" s="1"/>
  <c r="AA11" i="1"/>
  <c r="AA18" i="1" s="1"/>
  <c r="S21" i="2" s="1"/>
  <c r="Z11" i="1"/>
  <c r="Z18" i="1" s="1"/>
  <c r="R21" i="2" s="1"/>
  <c r="Y11" i="1"/>
  <c r="Y18" i="1" s="1"/>
  <c r="Q21" i="2" s="1"/>
  <c r="X11" i="1"/>
  <c r="X18" i="1" s="1"/>
  <c r="P21" i="2" s="1"/>
  <c r="W11" i="1"/>
  <c r="W21" i="1" s="1"/>
  <c r="V11" i="1"/>
  <c r="V21" i="1" s="1"/>
  <c r="U11" i="1"/>
  <c r="U21" i="1" s="1"/>
  <c r="T11" i="1"/>
  <c r="T21" i="1" s="1"/>
  <c r="S11" i="1"/>
  <c r="S18" i="1" s="1"/>
  <c r="K21" i="2" s="1"/>
  <c r="R11" i="1"/>
  <c r="R18" i="1" s="1"/>
  <c r="J21" i="2" s="1"/>
  <c r="Q11" i="1"/>
  <c r="Q18" i="1" s="1"/>
  <c r="I21" i="2" s="1"/>
  <c r="P11" i="1"/>
  <c r="P18" i="1" s="1"/>
  <c r="H21" i="2" s="1"/>
  <c r="O11" i="1"/>
  <c r="O21" i="1" s="1"/>
  <c r="N11" i="1"/>
  <c r="N21" i="1" s="1"/>
  <c r="M11" i="1"/>
  <c r="M21" i="1" s="1"/>
  <c r="AX10" i="1"/>
  <c r="AR10" i="1"/>
  <c r="AR17" i="1" s="1"/>
  <c r="AJ45" i="2" s="1"/>
  <c r="AJ60" i="2" s="1"/>
  <c r="AQ10" i="1"/>
  <c r="AQ17" i="1" s="1"/>
  <c r="AI45" i="2" s="1"/>
  <c r="AI60" i="2" s="1"/>
  <c r="AP10" i="1"/>
  <c r="AP17" i="1" s="1"/>
  <c r="AH45" i="2" s="1"/>
  <c r="AO10" i="1"/>
  <c r="AO20" i="1" s="1"/>
  <c r="AN10" i="1"/>
  <c r="AN20" i="1" s="1"/>
  <c r="AM10" i="1"/>
  <c r="AM20" i="1" s="1"/>
  <c r="AL10" i="1"/>
  <c r="AL20" i="1" s="1"/>
  <c r="AK10" i="1"/>
  <c r="AK20" i="1" s="1"/>
  <c r="AJ10" i="1"/>
  <c r="AJ17" i="1" s="1"/>
  <c r="AB45" i="2" s="1"/>
  <c r="AI10" i="1"/>
  <c r="AI17" i="1" s="1"/>
  <c r="AA45" i="2" s="1"/>
  <c r="AH10" i="1"/>
  <c r="AH17" i="1" s="1"/>
  <c r="Z45" i="2" s="1"/>
  <c r="AG10" i="1"/>
  <c r="AG20" i="1" s="1"/>
  <c r="AF10" i="1"/>
  <c r="AF20" i="1" s="1"/>
  <c r="AE10" i="1"/>
  <c r="AE20" i="1" s="1"/>
  <c r="AD10" i="1"/>
  <c r="AD20" i="1" s="1"/>
  <c r="AC10" i="1"/>
  <c r="AC20" i="1" s="1"/>
  <c r="AB10" i="1"/>
  <c r="AB17" i="1" s="1"/>
  <c r="T45" i="2" s="1"/>
  <c r="AA10" i="1"/>
  <c r="AA17" i="1" s="1"/>
  <c r="S45" i="2" s="1"/>
  <c r="Z10" i="1"/>
  <c r="Z17" i="1" s="1"/>
  <c r="R45" i="2" s="1"/>
  <c r="Y10" i="1"/>
  <c r="Y20" i="1" s="1"/>
  <c r="X10" i="1"/>
  <c r="X20" i="1" s="1"/>
  <c r="W10" i="1"/>
  <c r="W20" i="1" s="1"/>
  <c r="V10" i="1"/>
  <c r="V20" i="1" s="1"/>
  <c r="U10" i="1"/>
  <c r="U20" i="1" s="1"/>
  <c r="T10" i="1"/>
  <c r="T20" i="1" s="1"/>
  <c r="S10" i="1"/>
  <c r="S17" i="1" s="1"/>
  <c r="K45" i="2" s="1"/>
  <c r="R10" i="1"/>
  <c r="R17" i="1" s="1"/>
  <c r="J45" i="2" s="1"/>
  <c r="Q10" i="1"/>
  <c r="Q20" i="1" s="1"/>
  <c r="P10" i="1"/>
  <c r="P20" i="1" s="1"/>
  <c r="O10" i="1"/>
  <c r="O20" i="1" s="1"/>
  <c r="N10" i="1"/>
  <c r="N20" i="1" s="1"/>
  <c r="M10" i="1"/>
  <c r="M20" i="1" s="1"/>
  <c r="AX22" i="1" l="1"/>
  <c r="C34" i="4"/>
  <c r="E33" i="4"/>
  <c r="F33" i="4"/>
  <c r="D33" i="4"/>
  <c r="AJ50" i="2"/>
  <c r="Z19" i="1"/>
  <c r="R73" i="2" s="1"/>
  <c r="R19" i="1"/>
  <c r="J73" i="2" s="1"/>
  <c r="AH19" i="1"/>
  <c r="Z73" i="2" s="1"/>
  <c r="W78" i="2" s="1"/>
  <c r="AP19" i="1"/>
  <c r="AH73" i="2" s="1"/>
  <c r="AH60" i="2"/>
  <c r="AA35" i="2"/>
  <c r="K35" i="2"/>
  <c r="AH35" i="2"/>
  <c r="R35" i="2"/>
  <c r="AG35" i="2"/>
  <c r="Q35" i="2"/>
  <c r="F57" i="2"/>
  <c r="L10" i="1"/>
  <c r="L17" i="1" s="1"/>
  <c r="AH50" i="2"/>
  <c r="AI35" i="2"/>
  <c r="L23" i="2"/>
  <c r="L33" i="2" s="1"/>
  <c r="T23" i="2"/>
  <c r="T33" i="2" s="1"/>
  <c r="T35" i="2" s="1"/>
  <c r="AB23" i="2"/>
  <c r="AB33" i="2" s="1"/>
  <c r="AJ23" i="2"/>
  <c r="AJ33" i="2" s="1"/>
  <c r="AJ35" i="2" s="1"/>
  <c r="AH78" i="2"/>
  <c r="AH26" i="2"/>
  <c r="AI50" i="2"/>
  <c r="AE78" i="2"/>
  <c r="I78" i="2"/>
  <c r="L13" i="1"/>
  <c r="L20" i="1"/>
  <c r="T17" i="1"/>
  <c r="L45" i="2" s="1"/>
  <c r="L11" i="1"/>
  <c r="M17" i="1"/>
  <c r="U17" i="1"/>
  <c r="M45" i="2" s="1"/>
  <c r="M50" i="2" s="1"/>
  <c r="AC17" i="1"/>
  <c r="U45" i="2" s="1"/>
  <c r="AK17" i="1"/>
  <c r="AC45" i="2" s="1"/>
  <c r="Z60" i="2" s="1"/>
  <c r="T18" i="1"/>
  <c r="L21" i="2" s="1"/>
  <c r="AB18" i="1"/>
  <c r="T21" i="2" s="1"/>
  <c r="AJ18" i="1"/>
  <c r="AB21" i="2" s="1"/>
  <c r="AB36" i="2" s="1"/>
  <c r="AR18" i="1"/>
  <c r="AJ21" i="2" s="1"/>
  <c r="AJ36" i="2" s="1"/>
  <c r="S19" i="1"/>
  <c r="K73" i="2" s="1"/>
  <c r="AA19" i="1"/>
  <c r="S73" i="2" s="1"/>
  <c r="AI19" i="1"/>
  <c r="AA73" i="2" s="1"/>
  <c r="AQ19" i="1"/>
  <c r="AI73" i="2" s="1"/>
  <c r="AF78" i="2" s="1"/>
  <c r="R20" i="1"/>
  <c r="Z20" i="1"/>
  <c r="AH20" i="1"/>
  <c r="AP20" i="1"/>
  <c r="P21" i="1"/>
  <c r="X21" i="1"/>
  <c r="AF21" i="1"/>
  <c r="AN21" i="1"/>
  <c r="N22" i="1"/>
  <c r="V22" i="1"/>
  <c r="AD22" i="1"/>
  <c r="AL22" i="1"/>
  <c r="N17" i="1"/>
  <c r="F45" i="2" s="1"/>
  <c r="V17" i="1"/>
  <c r="N45" i="2" s="1"/>
  <c r="AD17" i="1"/>
  <c r="V45" i="2" s="1"/>
  <c r="AL17" i="1"/>
  <c r="AD45" i="2" s="1"/>
  <c r="M18" i="1"/>
  <c r="U18" i="1"/>
  <c r="M21" i="2" s="1"/>
  <c r="AC18" i="1"/>
  <c r="U21" i="2" s="1"/>
  <c r="AK18" i="1"/>
  <c r="AC21" i="2" s="1"/>
  <c r="AC26" i="2" s="1"/>
  <c r="T19" i="1"/>
  <c r="L73" i="2" s="1"/>
  <c r="L78" i="2" s="1"/>
  <c r="AB19" i="1"/>
  <c r="T73" i="2" s="1"/>
  <c r="T78" i="2" s="1"/>
  <c r="AJ19" i="1"/>
  <c r="AB73" i="2" s="1"/>
  <c r="AB78" i="2" s="1"/>
  <c r="AR19" i="1"/>
  <c r="AJ73" i="2" s="1"/>
  <c r="AJ78" i="2" s="1"/>
  <c r="S20" i="1"/>
  <c r="AA20" i="1"/>
  <c r="AI20" i="1"/>
  <c r="AQ20" i="1"/>
  <c r="Q21" i="1"/>
  <c r="Y21" i="1"/>
  <c r="AG21" i="1"/>
  <c r="AO21" i="1"/>
  <c r="O22" i="1"/>
  <c r="W22" i="1"/>
  <c r="AE22" i="1"/>
  <c r="AM22" i="1"/>
  <c r="O17" i="1"/>
  <c r="G45" i="2" s="1"/>
  <c r="W17" i="1"/>
  <c r="O45" i="2" s="1"/>
  <c r="O50" i="2" s="1"/>
  <c r="AE17" i="1"/>
  <c r="W45" i="2" s="1"/>
  <c r="AM17" i="1"/>
  <c r="AE45" i="2" s="1"/>
  <c r="N18" i="1"/>
  <c r="F21" i="2" s="1"/>
  <c r="V18" i="1"/>
  <c r="N21" i="2" s="1"/>
  <c r="AD18" i="1"/>
  <c r="V21" i="2" s="1"/>
  <c r="AL18" i="1"/>
  <c r="AD21" i="2" s="1"/>
  <c r="M19" i="1"/>
  <c r="U19" i="1"/>
  <c r="M73" i="2" s="1"/>
  <c r="AC19" i="1"/>
  <c r="U73" i="2" s="1"/>
  <c r="U78" i="2" s="1"/>
  <c r="AK19" i="1"/>
  <c r="AC73" i="2" s="1"/>
  <c r="AC78" i="2" s="1"/>
  <c r="AB20" i="1"/>
  <c r="AJ20" i="1"/>
  <c r="AR20" i="1"/>
  <c r="R21" i="1"/>
  <c r="Z21" i="1"/>
  <c r="AH21" i="1"/>
  <c r="AP21" i="1"/>
  <c r="P22" i="1"/>
  <c r="X22" i="1"/>
  <c r="AF22" i="1"/>
  <c r="AN22" i="1"/>
  <c r="AX12" i="1"/>
  <c r="P17" i="1"/>
  <c r="H45" i="2" s="1"/>
  <c r="X17" i="1"/>
  <c r="P45" i="2" s="1"/>
  <c r="AF17" i="1"/>
  <c r="X45" i="2" s="1"/>
  <c r="AN17" i="1"/>
  <c r="AF45" i="2" s="1"/>
  <c r="AF50" i="2" s="1"/>
  <c r="O18" i="1"/>
  <c r="G21" i="2" s="1"/>
  <c r="W18" i="1"/>
  <c r="O21" i="2" s="1"/>
  <c r="AE18" i="1"/>
  <c r="W21" i="2" s="1"/>
  <c r="W36" i="2" s="1"/>
  <c r="AM18" i="1"/>
  <c r="AE21" i="2" s="1"/>
  <c r="AE36" i="2" s="1"/>
  <c r="S21" i="1"/>
  <c r="AA21" i="1"/>
  <c r="AI21" i="1"/>
  <c r="AQ21" i="1"/>
  <c r="Q22" i="1"/>
  <c r="Y22" i="1"/>
  <c r="AG22" i="1"/>
  <c r="AO22" i="1"/>
  <c r="Q17" i="1"/>
  <c r="I45" i="2" s="1"/>
  <c r="Y17" i="1"/>
  <c r="Q45" i="2" s="1"/>
  <c r="Q50" i="2" s="1"/>
  <c r="AG17" i="1"/>
  <c r="Y45" i="2" s="1"/>
  <c r="Y50" i="2" s="1"/>
  <c r="AO17" i="1"/>
  <c r="AG45" i="2" s="1"/>
  <c r="AG60" i="2" s="1"/>
  <c r="M78" i="2" l="1"/>
  <c r="P26" i="2"/>
  <c r="AA60" i="2"/>
  <c r="V36" i="2"/>
  <c r="U26" i="2"/>
  <c r="T60" i="2"/>
  <c r="N26" i="2"/>
  <c r="S78" i="2"/>
  <c r="H50" i="2"/>
  <c r="K78" i="2"/>
  <c r="AF26" i="2"/>
  <c r="O78" i="2"/>
  <c r="AJ26" i="2"/>
  <c r="T50" i="2"/>
  <c r="AG36" i="2"/>
  <c r="AG37" i="2" s="1"/>
  <c r="AG38" i="2" s="1"/>
  <c r="AG39" i="2" s="1"/>
  <c r="AG40" i="2" s="1"/>
  <c r="AB60" i="2"/>
  <c r="Y78" i="2"/>
  <c r="U50" i="2"/>
  <c r="P50" i="2"/>
  <c r="AF60" i="2"/>
  <c r="Q78" i="2"/>
  <c r="AJ37" i="2"/>
  <c r="AJ38" i="2" s="1"/>
  <c r="AJ39" i="2" s="1"/>
  <c r="AJ40" i="2" s="1"/>
  <c r="N78" i="2"/>
  <c r="F34" i="4"/>
  <c r="E34" i="4"/>
  <c r="D34" i="4"/>
  <c r="C35" i="4"/>
  <c r="J60" i="2"/>
  <c r="L60" i="2"/>
  <c r="Z26" i="2"/>
  <c r="AF36" i="2"/>
  <c r="V26" i="2"/>
  <c r="S26" i="2"/>
  <c r="M36" i="2"/>
  <c r="G26" i="2"/>
  <c r="L36" i="2"/>
  <c r="I50" i="2"/>
  <c r="M26" i="2"/>
  <c r="R26" i="2"/>
  <c r="AA26" i="2"/>
  <c r="AA27" i="2" s="1"/>
  <c r="AA28" i="2" s="1"/>
  <c r="AA29" i="2" s="1"/>
  <c r="AA30" i="2" s="1"/>
  <c r="J36" i="2"/>
  <c r="Z36" i="2"/>
  <c r="AE60" i="2"/>
  <c r="AI78" i="2"/>
  <c r="AB26" i="2"/>
  <c r="J26" i="2"/>
  <c r="K26" i="2"/>
  <c r="P36" i="2"/>
  <c r="Y60" i="2"/>
  <c r="W60" i="2"/>
  <c r="V60" i="2"/>
  <c r="U60" i="2"/>
  <c r="Z78" i="2"/>
  <c r="X26" i="2"/>
  <c r="P78" i="2"/>
  <c r="G78" i="2"/>
  <c r="AD78" i="2"/>
  <c r="T26" i="2"/>
  <c r="AA78" i="2"/>
  <c r="AI26" i="2"/>
  <c r="S60" i="2"/>
  <c r="I36" i="2"/>
  <c r="U36" i="2"/>
  <c r="N36" i="2"/>
  <c r="G36" i="2"/>
  <c r="AD60" i="2"/>
  <c r="AC60" i="2"/>
  <c r="X50" i="2"/>
  <c r="X78" i="2"/>
  <c r="J50" i="2"/>
  <c r="T37" i="2"/>
  <c r="T38" i="2" s="1"/>
  <c r="T39" i="2" s="1"/>
  <c r="T40" i="2" s="1"/>
  <c r="K36" i="2"/>
  <c r="K37" i="2" s="1"/>
  <c r="K38" i="2" s="1"/>
  <c r="K39" i="2" s="1"/>
  <c r="K40" i="2" s="1"/>
  <c r="Q60" i="2"/>
  <c r="P60" i="2"/>
  <c r="O60" i="2"/>
  <c r="N60" i="2"/>
  <c r="M60" i="2"/>
  <c r="R78" i="2"/>
  <c r="H78" i="2"/>
  <c r="AD50" i="2"/>
  <c r="V78" i="2"/>
  <c r="L26" i="2"/>
  <c r="AA50" i="2"/>
  <c r="Z50" i="2"/>
  <c r="F78" i="2"/>
  <c r="H36" i="2"/>
  <c r="AH36" i="2"/>
  <c r="AH37" i="2" s="1"/>
  <c r="AH38" i="2" s="1"/>
  <c r="AH39" i="2" s="1"/>
  <c r="AH40" i="2" s="1"/>
  <c r="K60" i="2"/>
  <c r="R60" i="2"/>
  <c r="O36" i="2"/>
  <c r="F36" i="2"/>
  <c r="F26" i="2"/>
  <c r="X60" i="2"/>
  <c r="H60" i="2"/>
  <c r="G60" i="2"/>
  <c r="F50" i="2"/>
  <c r="F60" i="2"/>
  <c r="J78" i="2"/>
  <c r="AG78" i="2"/>
  <c r="AE26" i="2"/>
  <c r="AE50" i="2"/>
  <c r="V50" i="2"/>
  <c r="AB50" i="2"/>
  <c r="S50" i="2"/>
  <c r="G50" i="2"/>
  <c r="L50" i="2"/>
  <c r="Y26" i="2"/>
  <c r="AA36" i="2"/>
  <c r="AA37" i="2" s="1"/>
  <c r="AA38" i="2" s="1"/>
  <c r="AA39" i="2" s="1"/>
  <c r="AA40" i="2" s="1"/>
  <c r="Y36" i="2"/>
  <c r="X36" i="2"/>
  <c r="O26" i="2"/>
  <c r="T36" i="2"/>
  <c r="Q26" i="2"/>
  <c r="H26" i="2"/>
  <c r="R36" i="2"/>
  <c r="R37" i="2" s="1"/>
  <c r="R38" i="2" s="1"/>
  <c r="R39" i="2" s="1"/>
  <c r="R40" i="2" s="1"/>
  <c r="I60" i="2"/>
  <c r="AD36" i="2"/>
  <c r="AC36" i="2"/>
  <c r="AG50" i="2"/>
  <c r="W26" i="2"/>
  <c r="W50" i="2"/>
  <c r="N50" i="2"/>
  <c r="AC50" i="2"/>
  <c r="R50" i="2"/>
  <c r="K50" i="2"/>
  <c r="I26" i="2"/>
  <c r="AD26" i="2"/>
  <c r="AG26" i="2"/>
  <c r="S36" i="2"/>
  <c r="Q36" i="2"/>
  <c r="Q37" i="2" s="1"/>
  <c r="Q38" i="2" s="1"/>
  <c r="Q39" i="2" s="1"/>
  <c r="Q40" i="2" s="1"/>
  <c r="AI36" i="2"/>
  <c r="AI37" i="2" s="1"/>
  <c r="AI38" i="2" s="1"/>
  <c r="AI39" i="2" s="1"/>
  <c r="AI40" i="2" s="1"/>
  <c r="AB35" i="2"/>
  <c r="AB37" i="2" s="1"/>
  <c r="AB38" i="2" s="1"/>
  <c r="AB39" i="2" s="1"/>
  <c r="AB40" i="2" s="1"/>
  <c r="U35" i="2"/>
  <c r="AE35" i="2"/>
  <c r="AE37" i="2" s="1"/>
  <c r="AE38" i="2" s="1"/>
  <c r="AE39" i="2" s="1"/>
  <c r="AE40" i="2" s="1"/>
  <c r="V35" i="2"/>
  <c r="V37" i="2" s="1"/>
  <c r="V38" i="2" s="1"/>
  <c r="V39" i="2" s="1"/>
  <c r="V40" i="2" s="1"/>
  <c r="G35" i="2"/>
  <c r="O35" i="2"/>
  <c r="F77" i="2"/>
  <c r="F79" i="2" s="1"/>
  <c r="F80" i="2" s="1"/>
  <c r="F81" i="2" s="1"/>
  <c r="F35" i="2"/>
  <c r="F37" i="2" s="1"/>
  <c r="F38" i="2" s="1"/>
  <c r="F39" i="2" s="1"/>
  <c r="F40" i="2" s="1"/>
  <c r="I35" i="2"/>
  <c r="Y35" i="2"/>
  <c r="Y37" i="2" s="1"/>
  <c r="Y38" i="2" s="1"/>
  <c r="Y39" i="2" s="1"/>
  <c r="Y40" i="2" s="1"/>
  <c r="J35" i="2"/>
  <c r="J37" i="2" s="1"/>
  <c r="J38" i="2" s="1"/>
  <c r="J39" i="2" s="1"/>
  <c r="J40" i="2" s="1"/>
  <c r="Z35" i="2"/>
  <c r="H35" i="2"/>
  <c r="S35" i="2"/>
  <c r="S37" i="2" s="1"/>
  <c r="S38" i="2" s="1"/>
  <c r="S39" i="2" s="1"/>
  <c r="S40" i="2" s="1"/>
  <c r="P35" i="2"/>
  <c r="L35" i="2"/>
  <c r="L37" i="2" s="1"/>
  <c r="L38" i="2" s="1"/>
  <c r="L39" i="2" s="1"/>
  <c r="L40" i="2" s="1"/>
  <c r="M35" i="2"/>
  <c r="AC35" i="2"/>
  <c r="N35" i="2"/>
  <c r="AD35" i="2"/>
  <c r="X35" i="2"/>
  <c r="W35" i="2"/>
  <c r="W37" i="2" s="1"/>
  <c r="W38" i="2" s="1"/>
  <c r="W39" i="2" s="1"/>
  <c r="W40" i="2" s="1"/>
  <c r="AF35" i="2"/>
  <c r="AF37" i="2" s="1"/>
  <c r="AF38" i="2" s="1"/>
  <c r="AF39" i="2" s="1"/>
  <c r="AF40" i="2" s="1"/>
  <c r="F59" i="2"/>
  <c r="F61" i="2" s="1"/>
  <c r="F62" i="2" s="1"/>
  <c r="F63" i="2" s="1"/>
  <c r="F64" i="2" s="1"/>
  <c r="AD59" i="2"/>
  <c r="AD61" i="2" s="1"/>
  <c r="R59" i="2"/>
  <c r="R61" i="2" s="1"/>
  <c r="V59" i="2"/>
  <c r="V61" i="2" s="1"/>
  <c r="AF59" i="2"/>
  <c r="AF61" i="2" s="1"/>
  <c r="AA59" i="2"/>
  <c r="AE59" i="2"/>
  <c r="AE61" i="2" s="1"/>
  <c r="X59" i="2"/>
  <c r="X61" i="2" s="1"/>
  <c r="W59" i="2"/>
  <c r="AC59" i="2"/>
  <c r="O59" i="2"/>
  <c r="P59" i="2"/>
  <c r="P61" i="2" s="1"/>
  <c r="T59" i="2"/>
  <c r="T61" i="2" s="1"/>
  <c r="Z59" i="2"/>
  <c r="Z61" i="2" s="1"/>
  <c r="Y59" i="2"/>
  <c r="Y61" i="2" s="1"/>
  <c r="H59" i="2"/>
  <c r="Q59" i="2"/>
  <c r="F25" i="2"/>
  <c r="F27" i="2" s="1"/>
  <c r="F28" i="2" s="1"/>
  <c r="F29" i="2" s="1"/>
  <c r="AI59" i="2"/>
  <c r="AI61" i="2" s="1"/>
  <c r="I59" i="2"/>
  <c r="U59" i="2"/>
  <c r="U61" i="2" s="1"/>
  <c r="N59" i="2"/>
  <c r="J59" i="2"/>
  <c r="S59" i="2"/>
  <c r="S61" i="2" s="1"/>
  <c r="F49" i="2"/>
  <c r="AJ59" i="2"/>
  <c r="AJ61" i="2" s="1"/>
  <c r="K59" i="2"/>
  <c r="K61" i="2" s="1"/>
  <c r="AH59" i="2"/>
  <c r="AH61" i="2" s="1"/>
  <c r="AB59" i="2"/>
  <c r="AB61" i="2" s="1"/>
  <c r="H25" i="2"/>
  <c r="AG59" i="2"/>
  <c r="AG61" i="2" s="1"/>
  <c r="G59" i="2"/>
  <c r="M59" i="2"/>
  <c r="M61" i="2" s="1"/>
  <c r="L59" i="2"/>
  <c r="L61" i="2" s="1"/>
  <c r="V25" i="2"/>
  <c r="AE77" i="2"/>
  <c r="AE79" i="2" s="1"/>
  <c r="AE80" i="2" s="1"/>
  <c r="AE81" i="2" s="1"/>
  <c r="AF25" i="2"/>
  <c r="Q25" i="2"/>
  <c r="AJ25" i="2"/>
  <c r="AJ27" i="2" s="1"/>
  <c r="AJ28" i="2" s="1"/>
  <c r="AJ29" i="2" s="1"/>
  <c r="AJ30" i="2" s="1"/>
  <c r="AB25" i="2"/>
  <c r="AB27" i="2" s="1"/>
  <c r="AB28" i="2" s="1"/>
  <c r="AB29" i="2" s="1"/>
  <c r="AB30" i="2" s="1"/>
  <c r="O77" i="2"/>
  <c r="AG49" i="2"/>
  <c r="AI25" i="2"/>
  <c r="Q77" i="2"/>
  <c r="Q79" i="2" s="1"/>
  <c r="Q80" i="2" s="1"/>
  <c r="Q81" i="2" s="1"/>
  <c r="R49" i="2"/>
  <c r="AE25" i="2"/>
  <c r="AE49" i="2"/>
  <c r="AE51" i="2" s="1"/>
  <c r="AE52" i="2" s="1"/>
  <c r="AE53" i="2" s="1"/>
  <c r="R77" i="2"/>
  <c r="R79" i="2" s="1"/>
  <c r="R80" i="2" s="1"/>
  <c r="R81" i="2" s="1"/>
  <c r="U49" i="2"/>
  <c r="U51" i="2" s="1"/>
  <c r="U52" i="2" s="1"/>
  <c r="U53" i="2" s="1"/>
  <c r="T25" i="2"/>
  <c r="T27" i="2" s="1"/>
  <c r="T28" i="2" s="1"/>
  <c r="T29" i="2" s="1"/>
  <c r="T30" i="2" s="1"/>
  <c r="M25" i="2"/>
  <c r="M27" i="2" s="1"/>
  <c r="M28" i="2" s="1"/>
  <c r="M29" i="2" s="1"/>
  <c r="M30" i="2" s="1"/>
  <c r="H49" i="2"/>
  <c r="H51" i="2" s="1"/>
  <c r="H52" i="2" s="1"/>
  <c r="H53" i="2" s="1"/>
  <c r="H54" i="2" s="1"/>
  <c r="AC77" i="2"/>
  <c r="N77" i="2"/>
  <c r="N79" i="2" s="1"/>
  <c r="N80" i="2" s="1"/>
  <c r="N81" i="2" s="1"/>
  <c r="AC25" i="2"/>
  <c r="AC27" i="2" s="1"/>
  <c r="AC28" i="2" s="1"/>
  <c r="AC29" i="2" s="1"/>
  <c r="AC30" i="2" s="1"/>
  <c r="Z77" i="2"/>
  <c r="Z79" i="2" s="1"/>
  <c r="Z80" i="2" s="1"/>
  <c r="Z81" i="2" s="1"/>
  <c r="P77" i="2"/>
  <c r="K49" i="2"/>
  <c r="K51" i="2" s="1"/>
  <c r="K52" i="2" s="1"/>
  <c r="K53" i="2" s="1"/>
  <c r="S77" i="2"/>
  <c r="N25" i="2"/>
  <c r="N27" i="2" s="1"/>
  <c r="N28" i="2" s="1"/>
  <c r="N29" i="2" s="1"/>
  <c r="N30" i="2" s="1"/>
  <c r="AA25" i="2"/>
  <c r="AH25" i="2"/>
  <c r="AH27" i="2" s="1"/>
  <c r="AH28" i="2" s="1"/>
  <c r="AH29" i="2" s="1"/>
  <c r="AH30" i="2" s="1"/>
  <c r="G49" i="2"/>
  <c r="G51" i="2" s="1"/>
  <c r="G52" i="2" s="1"/>
  <c r="G53" i="2" s="1"/>
  <c r="G54" i="2" s="1"/>
  <c r="F30" i="2"/>
  <c r="Y25" i="2"/>
  <c r="V49" i="2"/>
  <c r="L25" i="2"/>
  <c r="L27" i="2" s="1"/>
  <c r="L28" i="2" s="1"/>
  <c r="L29" i="2" s="1"/>
  <c r="L30" i="2" s="1"/>
  <c r="U25" i="2"/>
  <c r="U27" i="2" s="1"/>
  <c r="U28" i="2" s="1"/>
  <c r="U29" i="2" s="1"/>
  <c r="U30" i="2" s="1"/>
  <c r="T49" i="2"/>
  <c r="T51" i="2" s="1"/>
  <c r="T52" i="2" s="1"/>
  <c r="T53" i="2" s="1"/>
  <c r="S49" i="2"/>
  <c r="K77" i="2"/>
  <c r="K79" i="2" s="1"/>
  <c r="K80" i="2" s="1"/>
  <c r="K81" i="2" s="1"/>
  <c r="I77" i="2"/>
  <c r="I79" i="2" s="1"/>
  <c r="I80" i="2" s="1"/>
  <c r="I81" i="2" s="1"/>
  <c r="I25" i="2"/>
  <c r="AF49" i="2"/>
  <c r="AF51" i="2" s="1"/>
  <c r="AF52" i="2" s="1"/>
  <c r="AF53" i="2" s="1"/>
  <c r="AA77" i="2"/>
  <c r="AA79" i="2" s="1"/>
  <c r="AA80" i="2" s="1"/>
  <c r="AA81" i="2" s="1"/>
  <c r="N49" i="2"/>
  <c r="N51" i="2" s="1"/>
  <c r="N52" i="2" s="1"/>
  <c r="N53" i="2" s="1"/>
  <c r="AI49" i="2"/>
  <c r="AI51" i="2" s="1"/>
  <c r="AI52" i="2" s="1"/>
  <c r="AI53" i="2" s="1"/>
  <c r="AF27" i="2"/>
  <c r="AF28" i="2" s="1"/>
  <c r="AF29" i="2" s="1"/>
  <c r="AF30" i="2" s="1"/>
  <c r="R25" i="2"/>
  <c r="R27" i="2" s="1"/>
  <c r="R28" i="2" s="1"/>
  <c r="R29" i="2" s="1"/>
  <c r="R30" i="2" s="1"/>
  <c r="X77" i="2"/>
  <c r="X79" i="2" s="1"/>
  <c r="X80" i="2" s="1"/>
  <c r="X81" i="2" s="1"/>
  <c r="L49" i="2"/>
  <c r="I49" i="2"/>
  <c r="I51" i="2" s="1"/>
  <c r="I52" i="2" s="1"/>
  <c r="I53" i="2" s="1"/>
  <c r="AH77" i="2"/>
  <c r="AH79" i="2" s="1"/>
  <c r="AH80" i="2" s="1"/>
  <c r="AH81" i="2" s="1"/>
  <c r="AF77" i="2"/>
  <c r="AF79" i="2" s="1"/>
  <c r="AF80" i="2" s="1"/>
  <c r="AF81" i="2" s="1"/>
  <c r="AD49" i="2"/>
  <c r="AD25" i="2"/>
  <c r="M77" i="2"/>
  <c r="M79" i="2" s="1"/>
  <c r="M80" i="2" s="1"/>
  <c r="M81" i="2" s="1"/>
  <c r="AH49" i="2"/>
  <c r="AH51" i="2" s="1"/>
  <c r="AH52" i="2" s="1"/>
  <c r="AH53" i="2" s="1"/>
  <c r="AG25" i="2"/>
  <c r="AG27" i="2" s="1"/>
  <c r="AG28" i="2" s="1"/>
  <c r="AG29" i="2" s="1"/>
  <c r="AG30" i="2" s="1"/>
  <c r="AG77" i="2"/>
  <c r="L77" i="2"/>
  <c r="L79" i="2" s="1"/>
  <c r="L80" i="2" s="1"/>
  <c r="L81" i="2" s="1"/>
  <c r="Y77" i="2"/>
  <c r="Y79" i="2" s="1"/>
  <c r="Y80" i="2" s="1"/>
  <c r="Y81" i="2" s="1"/>
  <c r="AA49" i="2"/>
  <c r="U77" i="2"/>
  <c r="U79" i="2" s="1"/>
  <c r="U80" i="2" s="1"/>
  <c r="U81" i="2" s="1"/>
  <c r="T77" i="2"/>
  <c r="T79" i="2" s="1"/>
  <c r="T80" i="2" s="1"/>
  <c r="T81" i="2" s="1"/>
  <c r="Q49" i="2"/>
  <c r="Q51" i="2" s="1"/>
  <c r="Q52" i="2" s="1"/>
  <c r="Q53" i="2" s="1"/>
  <c r="Z49" i="2"/>
  <c r="AC49" i="2"/>
  <c r="AI77" i="2"/>
  <c r="M49" i="2"/>
  <c r="M51" i="2" s="1"/>
  <c r="M52" i="2" s="1"/>
  <c r="M53" i="2" s="1"/>
  <c r="X49" i="2"/>
  <c r="AJ77" i="2"/>
  <c r="AJ79" i="2" s="1"/>
  <c r="AJ80" i="2" s="1"/>
  <c r="AJ81" i="2" s="1"/>
  <c r="Z25" i="2"/>
  <c r="Z27" i="2" s="1"/>
  <c r="Z28" i="2" s="1"/>
  <c r="Z29" i="2" s="1"/>
  <c r="Z30" i="2" s="1"/>
  <c r="Q27" i="2"/>
  <c r="Q28" i="2" s="1"/>
  <c r="Q29" i="2" s="1"/>
  <c r="Q30" i="2" s="1"/>
  <c r="H77" i="2"/>
  <c r="G77" i="2"/>
  <c r="G25" i="2"/>
  <c r="G27" i="2" s="1"/>
  <c r="G28" i="2" s="1"/>
  <c r="G29" i="2" s="1"/>
  <c r="G30" i="2" s="1"/>
  <c r="O25" i="2"/>
  <c r="P25" i="2"/>
  <c r="P27" i="2" s="1"/>
  <c r="P28" i="2" s="1"/>
  <c r="P29" i="2" s="1"/>
  <c r="P30" i="2" s="1"/>
  <c r="AB49" i="2"/>
  <c r="AD77" i="2"/>
  <c r="AD79" i="2" s="1"/>
  <c r="AD80" i="2" s="1"/>
  <c r="AD81" i="2" s="1"/>
  <c r="K25" i="2"/>
  <c r="K27" i="2" s="1"/>
  <c r="K28" i="2" s="1"/>
  <c r="K29" i="2" s="1"/>
  <c r="K30" i="2" s="1"/>
  <c r="AJ49" i="2"/>
  <c r="AJ51" i="2" s="1"/>
  <c r="AJ52" i="2" s="1"/>
  <c r="AJ53" i="2" s="1"/>
  <c r="W77" i="2"/>
  <c r="W79" i="2" s="1"/>
  <c r="W80" i="2" s="1"/>
  <c r="W81" i="2" s="1"/>
  <c r="V77" i="2"/>
  <c r="AE27" i="2"/>
  <c r="AE28" i="2" s="1"/>
  <c r="AE29" i="2" s="1"/>
  <c r="AE30" i="2" s="1"/>
  <c r="AC79" i="2"/>
  <c r="AC80" i="2" s="1"/>
  <c r="AC81" i="2" s="1"/>
  <c r="P49" i="2"/>
  <c r="P51" i="2" s="1"/>
  <c r="P52" i="2" s="1"/>
  <c r="P53" i="2" s="1"/>
  <c r="J49" i="2"/>
  <c r="J51" i="2" s="1"/>
  <c r="J52" i="2" s="1"/>
  <c r="J53" i="2" s="1"/>
  <c r="J25" i="2"/>
  <c r="J27" i="2" s="1"/>
  <c r="J28" i="2" s="1"/>
  <c r="J29" i="2" s="1"/>
  <c r="J30" i="2" s="1"/>
  <c r="W25" i="2"/>
  <c r="W27" i="2" s="1"/>
  <c r="W28" i="2" s="1"/>
  <c r="W29" i="2" s="1"/>
  <c r="W30" i="2" s="1"/>
  <c r="X25" i="2"/>
  <c r="X27" i="2" s="1"/>
  <c r="X28" i="2" s="1"/>
  <c r="X29" i="2" s="1"/>
  <c r="X30" i="2" s="1"/>
  <c r="O49" i="2"/>
  <c r="O51" i="2" s="1"/>
  <c r="O52" i="2" s="1"/>
  <c r="O53" i="2" s="1"/>
  <c r="AB77" i="2"/>
  <c r="AB79" i="2" s="1"/>
  <c r="AB80" i="2" s="1"/>
  <c r="AB81" i="2" s="1"/>
  <c r="S25" i="2"/>
  <c r="S27" i="2" s="1"/>
  <c r="S28" i="2" s="1"/>
  <c r="S29" i="2" s="1"/>
  <c r="S30" i="2" s="1"/>
  <c r="W49" i="2"/>
  <c r="W51" i="2" s="1"/>
  <c r="W52" i="2" s="1"/>
  <c r="W53" i="2" s="1"/>
  <c r="J77" i="2"/>
  <c r="J79" i="2" s="1"/>
  <c r="J80" i="2" s="1"/>
  <c r="J81" i="2" s="1"/>
  <c r="Y49" i="2"/>
  <c r="Y51" i="2" s="1"/>
  <c r="Y52" i="2" s="1"/>
  <c r="Y53" i="2" s="1"/>
  <c r="L15" i="1"/>
  <c r="L12" i="1"/>
  <c r="L21" i="1"/>
  <c r="L18" i="1"/>
  <c r="AI79" i="2" l="1"/>
  <c r="AI80" i="2" s="1"/>
  <c r="AI81" i="2" s="1"/>
  <c r="S79" i="2"/>
  <c r="S80" i="2" s="1"/>
  <c r="S81" i="2" s="1"/>
  <c r="G61" i="2"/>
  <c r="G62" i="2" s="1"/>
  <c r="G63" i="2" s="1"/>
  <c r="G64" i="2" s="1"/>
  <c r="N37" i="2"/>
  <c r="N38" i="2" s="1"/>
  <c r="N39" i="2" s="1"/>
  <c r="N40" i="2" s="1"/>
  <c r="AC51" i="2"/>
  <c r="AC52" i="2" s="1"/>
  <c r="AC53" i="2" s="1"/>
  <c r="AG79" i="2"/>
  <c r="AG80" i="2" s="1"/>
  <c r="AG81" i="2" s="1"/>
  <c r="V51" i="2"/>
  <c r="V52" i="2" s="1"/>
  <c r="V53" i="2" s="1"/>
  <c r="O61" i="2"/>
  <c r="O62" i="2" s="1"/>
  <c r="O63" i="2" s="1"/>
  <c r="O64" i="2" s="1"/>
  <c r="AC37" i="2"/>
  <c r="AC38" i="2" s="1"/>
  <c r="AC39" i="2" s="1"/>
  <c r="AC40" i="2" s="1"/>
  <c r="O37" i="2"/>
  <c r="O38" i="2" s="1"/>
  <c r="O39" i="2" s="1"/>
  <c r="O40" i="2" s="1"/>
  <c r="U37" i="2"/>
  <c r="U38" i="2" s="1"/>
  <c r="U39" i="2" s="1"/>
  <c r="U40" i="2" s="1"/>
  <c r="AI27" i="2"/>
  <c r="AI28" i="2" s="1"/>
  <c r="AI29" i="2" s="1"/>
  <c r="AI30" i="2" s="1"/>
  <c r="AB51" i="2"/>
  <c r="AB52" i="2" s="1"/>
  <c r="AB53" i="2" s="1"/>
  <c r="AG51" i="2"/>
  <c r="AG52" i="2" s="1"/>
  <c r="AG53" i="2" s="1"/>
  <c r="J61" i="2"/>
  <c r="X51" i="2"/>
  <c r="X52" i="2" s="1"/>
  <c r="X53" i="2" s="1"/>
  <c r="X54" i="2" s="1"/>
  <c r="Z51" i="2"/>
  <c r="Z52" i="2" s="1"/>
  <c r="Z53" i="2" s="1"/>
  <c r="AA51" i="2"/>
  <c r="AA52" i="2" s="1"/>
  <c r="AA53" i="2" s="1"/>
  <c r="AD51" i="2"/>
  <c r="AD52" i="2" s="1"/>
  <c r="AD53" i="2" s="1"/>
  <c r="L51" i="2"/>
  <c r="L52" i="2" s="1"/>
  <c r="L53" i="2" s="1"/>
  <c r="I27" i="2"/>
  <c r="I28" i="2" s="1"/>
  <c r="I29" i="2" s="1"/>
  <c r="I30" i="2" s="1"/>
  <c r="Y27" i="2"/>
  <c r="Y28" i="2" s="1"/>
  <c r="Y29" i="2" s="1"/>
  <c r="Y30" i="2" s="1"/>
  <c r="O79" i="2"/>
  <c r="O80" i="2" s="1"/>
  <c r="O81" i="2" s="1"/>
  <c r="H27" i="2"/>
  <c r="H28" i="2" s="1"/>
  <c r="H29" i="2" s="1"/>
  <c r="H30" i="2" s="1"/>
  <c r="N61" i="2"/>
  <c r="AC61" i="2"/>
  <c r="AA61" i="2"/>
  <c r="R51" i="2"/>
  <c r="R52" i="2" s="1"/>
  <c r="R53" i="2" s="1"/>
  <c r="R54" i="2" s="1"/>
  <c r="C36" i="4"/>
  <c r="F35" i="4"/>
  <c r="E35" i="4"/>
  <c r="D35" i="4"/>
  <c r="P79" i="2"/>
  <c r="P80" i="2" s="1"/>
  <c r="P81" i="2" s="1"/>
  <c r="M37" i="2"/>
  <c r="M38" i="2" s="1"/>
  <c r="M39" i="2" s="1"/>
  <c r="M40" i="2" s="1"/>
  <c r="I37" i="2"/>
  <c r="I38" i="2" s="1"/>
  <c r="I39" i="2" s="1"/>
  <c r="I40" i="2" s="1"/>
  <c r="F51" i="2"/>
  <c r="F52" i="2" s="1"/>
  <c r="F53" i="2" s="1"/>
  <c r="H61" i="2"/>
  <c r="P37" i="2"/>
  <c r="P38" i="2" s="1"/>
  <c r="P39" i="2" s="1"/>
  <c r="P40" i="2" s="1"/>
  <c r="O27" i="2"/>
  <c r="O28" i="2" s="1"/>
  <c r="O29" i="2" s="1"/>
  <c r="O30" i="2" s="1"/>
  <c r="Q61" i="2"/>
  <c r="Q62" i="2" s="1"/>
  <c r="Q63" i="2" s="1"/>
  <c r="Q64" i="2" s="1"/>
  <c r="W61" i="2"/>
  <c r="W62" i="2" s="1"/>
  <c r="W63" i="2" s="1"/>
  <c r="W64" i="2" s="1"/>
  <c r="S51" i="2"/>
  <c r="S52" i="2" s="1"/>
  <c r="S53" i="2" s="1"/>
  <c r="V79" i="2"/>
  <c r="V80" i="2" s="1"/>
  <c r="V81" i="2" s="1"/>
  <c r="X37" i="2"/>
  <c r="X38" i="2" s="1"/>
  <c r="X39" i="2" s="1"/>
  <c r="X40" i="2" s="1"/>
  <c r="H37" i="2"/>
  <c r="H38" i="2" s="1"/>
  <c r="H39" i="2" s="1"/>
  <c r="H40" i="2" s="1"/>
  <c r="G37" i="2"/>
  <c r="G38" i="2" s="1"/>
  <c r="G39" i="2" s="1"/>
  <c r="G40" i="2" s="1"/>
  <c r="AD27" i="2"/>
  <c r="AD28" i="2" s="1"/>
  <c r="AD29" i="2" s="1"/>
  <c r="AD30" i="2" s="1"/>
  <c r="AD37" i="2"/>
  <c r="AD38" i="2" s="1"/>
  <c r="AD39" i="2" s="1"/>
  <c r="AD40" i="2" s="1"/>
  <c r="Z37" i="2"/>
  <c r="Z38" i="2" s="1"/>
  <c r="Z39" i="2" s="1"/>
  <c r="Z40" i="2" s="1"/>
  <c r="G79" i="2"/>
  <c r="G80" i="2" s="1"/>
  <c r="G81" i="2" s="1"/>
  <c r="H79" i="2"/>
  <c r="H80" i="2" s="1"/>
  <c r="H81" i="2" s="1"/>
  <c r="V27" i="2"/>
  <c r="V28" i="2" s="1"/>
  <c r="V29" i="2" s="1"/>
  <c r="V30" i="2" s="1"/>
  <c r="I61" i="2"/>
  <c r="AF54" i="2"/>
  <c r="AF62" i="2"/>
  <c r="AF63" i="2" s="1"/>
  <c r="AF64" i="2" s="1"/>
  <c r="AE54" i="2"/>
  <c r="AE62" i="2"/>
  <c r="AE63" i="2" s="1"/>
  <c r="AE64" i="2" s="1"/>
  <c r="AA54" i="2"/>
  <c r="AA62" i="2"/>
  <c r="AA63" i="2" s="1"/>
  <c r="AA64" i="2" s="1"/>
  <c r="Z54" i="2"/>
  <c r="Z62" i="2"/>
  <c r="Z63" i="2" s="1"/>
  <c r="Z64" i="2" s="1"/>
  <c r="R62" i="2"/>
  <c r="R63" i="2" s="1"/>
  <c r="R64" i="2" s="1"/>
  <c r="V54" i="2"/>
  <c r="V62" i="2"/>
  <c r="V63" i="2" s="1"/>
  <c r="V64" i="2" s="1"/>
  <c r="AB54" i="2"/>
  <c r="AB62" i="2"/>
  <c r="AB63" i="2" s="1"/>
  <c r="AB64" i="2" s="1"/>
  <c r="Q54" i="2"/>
  <c r="O54" i="2"/>
  <c r="H62" i="2"/>
  <c r="H63" i="2" s="1"/>
  <c r="H64" i="2" s="1"/>
  <c r="AD54" i="2"/>
  <c r="AD62" i="2"/>
  <c r="AD63" i="2" s="1"/>
  <c r="AD64" i="2" s="1"/>
  <c r="J54" i="2"/>
  <c r="J62" i="2"/>
  <c r="J63" i="2" s="1"/>
  <c r="J64" i="2" s="1"/>
  <c r="X62" i="2"/>
  <c r="X63" i="2" s="1"/>
  <c r="X64" i="2" s="1"/>
  <c r="S54" i="2"/>
  <c r="S62" i="2"/>
  <c r="S63" i="2" s="1"/>
  <c r="S64" i="2" s="1"/>
  <c r="W54" i="2"/>
  <c r="P54" i="2"/>
  <c r="P62" i="2"/>
  <c r="P63" i="2" s="1"/>
  <c r="P64" i="2" s="1"/>
  <c r="M54" i="2"/>
  <c r="M62" i="2"/>
  <c r="M63" i="2" s="1"/>
  <c r="M64" i="2" s="1"/>
  <c r="AH54" i="2"/>
  <c r="AH62" i="2"/>
  <c r="AH63" i="2" s="1"/>
  <c r="AH64" i="2" s="1"/>
  <c r="AI54" i="2"/>
  <c r="AI62" i="2"/>
  <c r="AI63" i="2" s="1"/>
  <c r="AI64" i="2" s="1"/>
  <c r="T54" i="2"/>
  <c r="T62" i="2"/>
  <c r="T63" i="2" s="1"/>
  <c r="T64" i="2" s="1"/>
  <c r="K54" i="2"/>
  <c r="K62" i="2"/>
  <c r="K63" i="2" s="1"/>
  <c r="K64" i="2" s="1"/>
  <c r="Y54" i="2"/>
  <c r="Y62" i="2"/>
  <c r="Y63" i="2" s="1"/>
  <c r="Y64" i="2" s="1"/>
  <c r="L54" i="2"/>
  <c r="L62" i="2"/>
  <c r="L63" i="2" s="1"/>
  <c r="L64" i="2" s="1"/>
  <c r="N54" i="2"/>
  <c r="N62" i="2"/>
  <c r="N63" i="2" s="1"/>
  <c r="N64" i="2" s="1"/>
  <c r="U54" i="2"/>
  <c r="U62" i="2"/>
  <c r="U63" i="2" s="1"/>
  <c r="U64" i="2" s="1"/>
  <c r="AJ54" i="2"/>
  <c r="AJ62" i="2"/>
  <c r="AJ63" i="2" s="1"/>
  <c r="AJ64" i="2" s="1"/>
  <c r="AC54" i="2"/>
  <c r="AC62" i="2"/>
  <c r="AC63" i="2" s="1"/>
  <c r="AC64" i="2" s="1"/>
  <c r="I54" i="2"/>
  <c r="I62" i="2"/>
  <c r="I63" i="2" s="1"/>
  <c r="I64" i="2" s="1"/>
  <c r="AG54" i="2"/>
  <c r="AG62" i="2"/>
  <c r="AG63" i="2" s="1"/>
  <c r="AG64" i="2" s="1"/>
  <c r="L22" i="1"/>
  <c r="L19" i="1"/>
  <c r="F36" i="4" l="1"/>
  <c r="E36" i="4"/>
  <c r="D36" i="4"/>
  <c r="C37" i="4"/>
  <c r="F54" i="2"/>
  <c r="C38" i="4" l="1"/>
  <c r="F37" i="4"/>
  <c r="E37" i="4"/>
  <c r="D37" i="4"/>
  <c r="F38" i="4" l="1"/>
  <c r="E38" i="4"/>
  <c r="D38" i="4"/>
  <c r="C39" i="4"/>
  <c r="C40" i="4" l="1"/>
  <c r="F39" i="4"/>
  <c r="E39" i="4"/>
  <c r="D39" i="4"/>
  <c r="F40" i="4" l="1"/>
  <c r="E40" i="4"/>
  <c r="D40" i="4"/>
  <c r="C41" i="4"/>
  <c r="C42" i="4" l="1"/>
  <c r="F41" i="4"/>
  <c r="E41" i="4"/>
  <c r="D41" i="4"/>
  <c r="F42" i="4" l="1"/>
  <c r="E42" i="4"/>
  <c r="D42" i="4"/>
  <c r="C43" i="4"/>
  <c r="C44" i="4" l="1"/>
  <c r="F43" i="4"/>
  <c r="E43" i="4"/>
  <c r="D43" i="4"/>
  <c r="F44" i="4" l="1"/>
  <c r="E44" i="4"/>
  <c r="D44" i="4"/>
  <c r="C45" i="4"/>
  <c r="C46" i="4" l="1"/>
  <c r="F45" i="4"/>
  <c r="E45" i="4"/>
  <c r="D45" i="4"/>
  <c r="F46" i="4" l="1"/>
  <c r="E46" i="4"/>
  <c r="D46" i="4"/>
  <c r="C47" i="4"/>
  <c r="C48" i="4" l="1"/>
  <c r="F47" i="4"/>
  <c r="E47" i="4"/>
  <c r="D47" i="4"/>
  <c r="F48" i="4" l="1"/>
  <c r="E48" i="4"/>
  <c r="D48" i="4"/>
  <c r="C49" i="4"/>
  <c r="C50" i="4" l="1"/>
  <c r="F49" i="4"/>
  <c r="E49" i="4"/>
  <c r="D49" i="4"/>
  <c r="F50" i="4" l="1"/>
  <c r="E50" i="4"/>
  <c r="D50" i="4"/>
  <c r="C51" i="4"/>
  <c r="C52" i="4" l="1"/>
  <c r="F51" i="4"/>
  <c r="E51" i="4"/>
  <c r="D51" i="4"/>
  <c r="F52" i="4" l="1"/>
  <c r="E52" i="4"/>
  <c r="D52" i="4"/>
  <c r="C53" i="4"/>
  <c r="C54" i="4" l="1"/>
  <c r="F53" i="4"/>
  <c r="E53" i="4"/>
  <c r="D53" i="4"/>
  <c r="F54" i="4" l="1"/>
  <c r="E54" i="4"/>
  <c r="D54" i="4"/>
  <c r="C55" i="4"/>
  <c r="C56" i="4" l="1"/>
  <c r="F55" i="4"/>
  <c r="E55" i="4"/>
  <c r="D55" i="4"/>
  <c r="F56" i="4" l="1"/>
  <c r="E56" i="4"/>
  <c r="D56" i="4"/>
</calcChain>
</file>

<file path=xl/sharedStrings.xml><?xml version="1.0" encoding="utf-8"?>
<sst xmlns="http://schemas.openxmlformats.org/spreadsheetml/2006/main" count="153" uniqueCount="71">
  <si>
    <t xml:space="preserve">Reference: Battery Storage cost values from W. Cole and A. W. Frazier, “Cost Projections for Utility-scale Battery Storage: 2020 Update,” NREL/TP-6A20-75385. Golden, CO: National Renewable Energy Laboratory. https://www.nrel.gov/docs/fy20osti/75385.pdf.
</t>
  </si>
  <si>
    <t>All values are given in 2018 U.S. dollars, using the Consumer Price Index (BLS, 2020) for dollar year conversions. Projections use an inflation assumption of 2.5% per year.</t>
  </si>
  <si>
    <t>For  15-year life (values in 2018$):</t>
  </si>
  <si>
    <t>Battery Energy Capital Cost ($/kWh)</t>
  </si>
  <si>
    <t>Techno-Economic Cost and Performance Parameters</t>
  </si>
  <si>
    <t>CAPEX ($/kW)</t>
  </si>
  <si>
    <t>4Hr Battery Storage - Advanced</t>
  </si>
  <si>
    <t>Low</t>
  </si>
  <si>
    <t>4Hr Battery Storage - Moderate</t>
  </si>
  <si>
    <t>Mid</t>
  </si>
  <si>
    <t>4Hr Battery Storage - Conservative</t>
  </si>
  <si>
    <t>High</t>
  </si>
  <si>
    <t>2Hr Battery Storage - Advanced</t>
  </si>
  <si>
    <t>2Hr Battery Storage - Moderate</t>
  </si>
  <si>
    <t>2Hr Battery Storage - Conservative</t>
  </si>
  <si>
    <t>Fixed Operation and Maintenance Expenses ($/kW-yr)</t>
  </si>
  <si>
    <t>Battery Power Capital Cost ($/kW)</t>
  </si>
  <si>
    <t>Total System Cost ($/kW) = Battery Energy Cost ($/kWh) * Storage Duration (hr) + Battery Power Cost ($/kW)</t>
  </si>
  <si>
    <t>Variable Operation and Maintenance Expenses ($/MWh)</t>
  </si>
  <si>
    <t>Round-Trip Efficiency</t>
  </si>
  <si>
    <t>Capacity Factor (%)</t>
  </si>
  <si>
    <t>Assumptions</t>
  </si>
  <si>
    <t>Hr Battery</t>
  </si>
  <si>
    <t>MW</t>
  </si>
  <si>
    <t>full-cycle equivalents per year</t>
  </si>
  <si>
    <t>FCR</t>
  </si>
  <si>
    <t>RT Efficiency</t>
  </si>
  <si>
    <t>BASE</t>
  </si>
  <si>
    <t>Storage</t>
  </si>
  <si>
    <t>$/kW/h</t>
  </si>
  <si>
    <t>BOP</t>
  </si>
  <si>
    <t>$/kW</t>
  </si>
  <si>
    <t>FOM</t>
  </si>
  <si>
    <t>$/kW-yr</t>
  </si>
  <si>
    <t>VOM</t>
  </si>
  <si>
    <t>$/MWh</t>
  </si>
  <si>
    <t>Capex</t>
  </si>
  <si>
    <t>Capex*FCR</t>
  </si>
  <si>
    <t>Lev FOM</t>
  </si>
  <si>
    <t>All-in Cost/yr</t>
  </si>
  <si>
    <t>$000</t>
  </si>
  <si>
    <t>LCOC</t>
  </si>
  <si>
    <t>$/kW-m</t>
  </si>
  <si>
    <t>LOW</t>
  </si>
  <si>
    <t>$/MW-yr</t>
  </si>
  <si>
    <t>HIGH</t>
  </si>
  <si>
    <t>Nominal</t>
  </si>
  <si>
    <t>Inflation Rate</t>
  </si>
  <si>
    <t>WACC - nominal</t>
  </si>
  <si>
    <t>WACC - real</t>
  </si>
  <si>
    <t>Project life</t>
  </si>
  <si>
    <t>LOW - PAIRED</t>
  </si>
  <si>
    <t>How are these created?!</t>
  </si>
  <si>
    <t>BASE - PAIRED</t>
  </si>
  <si>
    <t>EIA AEO 2021</t>
  </si>
  <si>
    <t>2018$</t>
  </si>
  <si>
    <t>2020$</t>
  </si>
  <si>
    <t>Implicit Price Deflators and Conversion Factors for Conversion to 2019$</t>
  </si>
  <si>
    <t>Source: FRED. See: https://fred.stlouisfed.org/series/GDPDEF#0</t>
  </si>
  <si>
    <t>Year</t>
  </si>
  <si>
    <t>Implicit Price Deflator</t>
  </si>
  <si>
    <t>Annual Inflation</t>
  </si>
  <si>
    <t>Conversion from nominal $ to 2020$</t>
  </si>
  <si>
    <t>Conversion from nominal $ to 2018$</t>
  </si>
  <si>
    <t>Average Inflation:</t>
  </si>
  <si>
    <t>Input Assumptions Memo Inflation:</t>
  </si>
  <si>
    <t>Thru Q3</t>
  </si>
  <si>
    <t>4Hr Battery Storage - Low</t>
  </si>
  <si>
    <t>ATB Low</t>
  </si>
  <si>
    <t>ATB Mid</t>
  </si>
  <si>
    <t>APCo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</si>
</sst>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0%"/>
    <numFmt numFmtId="167" formatCode="0.00000"/>
    <numFmt numFmtId="168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i/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1" xfId="0" applyFont="1" applyBorder="1"/>
    <xf numFmtId="0" fontId="1" fillId="0" borderId="0" xfId="0" applyFont="1"/>
    <xf numFmtId="0" fontId="5" fillId="0" borderId="2" xfId="0" applyFont="1" applyBorder="1" applyAlignment="1">
      <alignment horizontal="right" vertical="center"/>
    </xf>
    <xf numFmtId="1" fontId="0" fillId="0" borderId="0" xfId="0" applyNumberFormat="1"/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2" fontId="0" fillId="0" borderId="0" xfId="0" applyNumberFormat="1"/>
    <xf numFmtId="0" fontId="4" fillId="3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textRotation="90" wrapText="1"/>
    </xf>
    <xf numFmtId="0" fontId="3" fillId="0" borderId="0" xfId="0" applyFont="1" applyAlignment="1">
      <alignment vertical="center" textRotation="90" wrapText="1"/>
    </xf>
    <xf numFmtId="164" fontId="0" fillId="0" borderId="0" xfId="0" applyNumberFormat="1"/>
    <xf numFmtId="9" fontId="0" fillId="0" borderId="0" xfId="0" applyNumberFormat="1"/>
    <xf numFmtId="0" fontId="2" fillId="0" borderId="0" xfId="1"/>
    <xf numFmtId="165" fontId="0" fillId="0" borderId="0" xfId="2" applyNumberFormat="1" applyFont="1"/>
    <xf numFmtId="166" fontId="2" fillId="4" borderId="0" xfId="1" applyNumberFormat="1" applyFill="1"/>
    <xf numFmtId="0" fontId="2" fillId="5" borderId="0" xfId="1" applyFill="1"/>
    <xf numFmtId="10" fontId="2" fillId="4" borderId="0" xfId="1" applyNumberFormat="1" applyFill="1"/>
    <xf numFmtId="43" fontId="2" fillId="0" borderId="0" xfId="1" applyNumberFormat="1"/>
    <xf numFmtId="0" fontId="5" fillId="0" borderId="0" xfId="1" applyFont="1"/>
    <xf numFmtId="0" fontId="2" fillId="0" borderId="0" xfId="1" quotePrefix="1"/>
    <xf numFmtId="165" fontId="6" fillId="0" borderId="0" xfId="2" applyNumberFormat="1" applyFont="1"/>
    <xf numFmtId="43" fontId="6" fillId="0" borderId="0" xfId="2" applyFont="1"/>
    <xf numFmtId="165" fontId="2" fillId="0" borderId="0" xfId="1" applyNumberFormat="1"/>
    <xf numFmtId="43" fontId="7" fillId="0" borderId="0" xfId="2" applyFont="1"/>
    <xf numFmtId="167" fontId="0" fillId="0" borderId="0" xfId="0" applyNumberFormat="1"/>
    <xf numFmtId="0" fontId="1" fillId="7" borderId="0" xfId="0" applyFont="1" applyFill="1"/>
    <xf numFmtId="0" fontId="0" fillId="7" borderId="0" xfId="0" applyFill="1"/>
    <xf numFmtId="1" fontId="0" fillId="7" borderId="0" xfId="0" applyNumberFormat="1" applyFill="1"/>
    <xf numFmtId="0" fontId="0" fillId="6" borderId="0" xfId="0" applyFill="1"/>
    <xf numFmtId="168" fontId="2" fillId="0" borderId="0" xfId="1" applyNumberFormat="1"/>
    <xf numFmtId="0" fontId="2" fillId="0" borderId="0" xfId="1" applyFill="1"/>
    <xf numFmtId="165" fontId="2" fillId="8" borderId="0" xfId="1" applyNumberFormat="1" applyFill="1"/>
    <xf numFmtId="0" fontId="9" fillId="0" borderId="0" xfId="0" applyFont="1"/>
    <xf numFmtId="0" fontId="11" fillId="0" borderId="0" xfId="4" applyFont="1"/>
    <xf numFmtId="0" fontId="12" fillId="0" borderId="0" xfId="5"/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10" fontId="11" fillId="0" borderId="11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10" fontId="11" fillId="8" borderId="17" xfId="3" applyNumberFormat="1" applyFont="1" applyFill="1" applyBorder="1" applyAlignment="1">
      <alignment horizontal="center"/>
    </xf>
    <xf numFmtId="164" fontId="11" fillId="8" borderId="17" xfId="3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10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0" fontId="14" fillId="0" borderId="0" xfId="4" applyFont="1"/>
    <xf numFmtId="0" fontId="13" fillId="9" borderId="18" xfId="0" applyFont="1" applyFill="1" applyBorder="1" applyAlignment="1">
      <alignment horizontal="center"/>
    </xf>
    <xf numFmtId="2" fontId="13" fillId="9" borderId="19" xfId="0" applyNumberFormat="1" applyFont="1" applyFill="1" applyBorder="1" applyAlignment="1">
      <alignment horizontal="center"/>
    </xf>
    <xf numFmtId="10" fontId="13" fillId="9" borderId="19" xfId="0" applyNumberFormat="1" applyFont="1" applyFill="1" applyBorder="1" applyAlignment="1">
      <alignment horizontal="center"/>
    </xf>
    <xf numFmtId="2" fontId="13" fillId="9" borderId="20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0" xfId="0" applyFont="1" applyFill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6">
    <cellStyle name="Comma 2" xfId="2" xr:uid="{2DD2C89B-5B2E-467A-8138-EB473C076B5C}"/>
    <cellStyle name="Hyperlink" xfId="5" builtinId="8"/>
    <cellStyle name="Normal" xfId="0" builtinId="0"/>
    <cellStyle name="Normal 2" xfId="1" xr:uid="{88941190-1460-4A8C-8AB6-9CEB3ED4B872}"/>
    <cellStyle name="Normal_Sheet" xfId="4" xr:uid="{6BE9BCE6-AAC4-408B-94DD-678EFF989872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244705902311"/>
          <c:y val="9.61545504486358E-2"/>
          <c:w val="0.86032739064017805"/>
          <c:h val="0.79063854418389101"/>
        </c:manualLayout>
      </c:layout>
      <c:scatterChart>
        <c:scatterStyle val="lineMarker"/>
        <c:varyColors val="0"/>
        <c:ser>
          <c:idx val="6"/>
          <c:order val="0"/>
          <c:tx>
            <c:strRef>
              <c:f>'NREL ATB Storage'!$K$10</c:f>
              <c:strCache>
                <c:ptCount val="1"/>
                <c:pt idx="0">
                  <c:v>4Hr Battery Storage - Advanced</c:v>
                </c:pt>
              </c:strCache>
            </c:strRef>
          </c:tx>
          <c:marker>
            <c:symbol val="none"/>
          </c:marker>
          <c:dPt>
            <c:idx val="1"/>
            <c:bubble3D val="0"/>
            <c:spPr>
              <a:ln>
                <a:headEnd type="oval"/>
              </a:ln>
            </c:spPr>
            <c:extLst>
              <c:ext xmlns:c16="http://schemas.microsoft.com/office/drawing/2014/chart" uri="{C3380CC4-5D6E-409C-BE32-E72D297353CC}">
                <c16:uniqueId val="{00000001-7AA6-4994-963C-728729024497}"/>
              </c:ext>
            </c:extLst>
          </c:dPt>
          <c:xVal>
            <c:numRef>
              <c:f>'NREL ATB Storage'!$L$9:$AR$9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'NREL ATB Storage'!$L$10:$AR$10</c:f>
              <c:numCache>
                <c:formatCode>0</c:formatCode>
                <c:ptCount val="33"/>
                <c:pt idx="0">
                  <c:v>1633.3913360754739</c:v>
                </c:pt>
                <c:pt idx="1">
                  <c:v>1544</c:v>
                </c:pt>
                <c:pt idx="2">
                  <c:v>1202.5639796527782</c:v>
                </c:pt>
                <c:pt idx="3">
                  <c:v>1117.9212930958715</c:v>
                </c:pt>
                <c:pt idx="4">
                  <c:v>1033.2786065389648</c:v>
                </c:pt>
                <c:pt idx="5">
                  <c:v>948.63591998205811</c:v>
                </c:pt>
                <c:pt idx="6">
                  <c:v>863.9932334251514</c:v>
                </c:pt>
                <c:pt idx="7">
                  <c:v>779.35054686824492</c:v>
                </c:pt>
                <c:pt idx="8">
                  <c:v>736.9615905312719</c:v>
                </c:pt>
                <c:pt idx="9">
                  <c:v>694.57263419429864</c:v>
                </c:pt>
                <c:pt idx="10">
                  <c:v>652.18367785732562</c:v>
                </c:pt>
                <c:pt idx="11">
                  <c:v>609.79472152035237</c:v>
                </c:pt>
                <c:pt idx="12">
                  <c:v>567.40576518337912</c:v>
                </c:pt>
                <c:pt idx="13">
                  <c:v>556.30434803848686</c:v>
                </c:pt>
                <c:pt idx="14">
                  <c:v>545.20293089359461</c:v>
                </c:pt>
                <c:pt idx="15">
                  <c:v>534.10151374870236</c:v>
                </c:pt>
                <c:pt idx="16">
                  <c:v>523.00009660381011</c:v>
                </c:pt>
                <c:pt idx="17">
                  <c:v>511.89867945891791</c:v>
                </c:pt>
                <c:pt idx="18">
                  <c:v>500.79726231402572</c:v>
                </c:pt>
                <c:pt idx="19">
                  <c:v>489.69584516913346</c:v>
                </c:pt>
                <c:pt idx="20">
                  <c:v>478.59442802424121</c:v>
                </c:pt>
                <c:pt idx="21">
                  <c:v>467.49301087934896</c:v>
                </c:pt>
                <c:pt idx="22">
                  <c:v>456.39159373445676</c:v>
                </c:pt>
                <c:pt idx="23">
                  <c:v>445.29017658956451</c:v>
                </c:pt>
                <c:pt idx="24">
                  <c:v>434.18875944467231</c:v>
                </c:pt>
                <c:pt idx="25">
                  <c:v>423.08734229978006</c:v>
                </c:pt>
                <c:pt idx="26">
                  <c:v>411.98592515488781</c:v>
                </c:pt>
                <c:pt idx="27">
                  <c:v>400.88450800999556</c:v>
                </c:pt>
                <c:pt idx="28">
                  <c:v>389.78309086510336</c:v>
                </c:pt>
                <c:pt idx="29">
                  <c:v>378.68167372021117</c:v>
                </c:pt>
                <c:pt idx="30">
                  <c:v>367.58025657531897</c:v>
                </c:pt>
                <c:pt idx="31">
                  <c:v>356.47883943042677</c:v>
                </c:pt>
                <c:pt idx="32">
                  <c:v>345.3774222855352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AA6-4994-963C-728729024497}"/>
            </c:ext>
          </c:extLst>
        </c:ser>
        <c:ser>
          <c:idx val="7"/>
          <c:order val="1"/>
          <c:tx>
            <c:strRef>
              <c:f>'NREL ATB Storage'!$K$11</c:f>
              <c:strCache>
                <c:ptCount val="1"/>
                <c:pt idx="0">
                  <c:v>4Hr Battery Storage - Moderate</c:v>
                </c:pt>
              </c:strCache>
            </c:strRef>
          </c:tx>
          <c:marker>
            <c:symbol val="none"/>
          </c:marker>
          <c:dPt>
            <c:idx val="1"/>
            <c:bubble3D val="0"/>
            <c:spPr>
              <a:ln>
                <a:headEnd type="oval"/>
              </a:ln>
            </c:spPr>
            <c:extLst>
              <c:ext xmlns:c16="http://schemas.microsoft.com/office/drawing/2014/chart" uri="{C3380CC4-5D6E-409C-BE32-E72D297353CC}">
                <c16:uniqueId val="{00000004-7AA6-4994-963C-728729024497}"/>
              </c:ext>
            </c:extLst>
          </c:dPt>
          <c:xVal>
            <c:numRef>
              <c:f>'NREL ATB Storage'!$L$9:$AR$9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'NREL ATB Storage'!$L$11:$AR$11</c:f>
              <c:numCache>
                <c:formatCode>0</c:formatCode>
                <c:ptCount val="33"/>
                <c:pt idx="0">
                  <c:v>1633.3913360754739</c:v>
                </c:pt>
                <c:pt idx="1">
                  <c:v>1544</c:v>
                </c:pt>
                <c:pt idx="2">
                  <c:v>1454.6086639245261</c:v>
                </c:pt>
                <c:pt idx="3">
                  <c:v>1364.5016550659996</c:v>
                </c:pt>
                <c:pt idx="4">
                  <c:v>1274.394646207475</c:v>
                </c:pt>
                <c:pt idx="5">
                  <c:v>1184.2876373489507</c:v>
                </c:pt>
                <c:pt idx="6">
                  <c:v>1094.1806284904262</c:v>
                </c:pt>
                <c:pt idx="7">
                  <c:v>1004.0736196319019</c:v>
                </c:pt>
                <c:pt idx="8">
                  <c:v>966.70548255321955</c:v>
                </c:pt>
                <c:pt idx="9">
                  <c:v>929.33734547453719</c:v>
                </c:pt>
                <c:pt idx="10">
                  <c:v>891.96920839585493</c:v>
                </c:pt>
                <c:pt idx="11">
                  <c:v>854.60107131717268</c:v>
                </c:pt>
                <c:pt idx="12">
                  <c:v>817.23293423848986</c:v>
                </c:pt>
                <c:pt idx="13">
                  <c:v>807.01752256050895</c:v>
                </c:pt>
                <c:pt idx="14">
                  <c:v>796.80211088252781</c:v>
                </c:pt>
                <c:pt idx="15">
                  <c:v>786.58669920454668</c:v>
                </c:pt>
                <c:pt idx="16">
                  <c:v>776.37128752656554</c:v>
                </c:pt>
                <c:pt idx="17">
                  <c:v>766.1558758485844</c:v>
                </c:pt>
                <c:pt idx="18">
                  <c:v>755.94046417060349</c:v>
                </c:pt>
                <c:pt idx="19">
                  <c:v>745.72505249262235</c:v>
                </c:pt>
                <c:pt idx="20">
                  <c:v>735.50964081464122</c:v>
                </c:pt>
                <c:pt idx="21">
                  <c:v>725.29422913666008</c:v>
                </c:pt>
                <c:pt idx="22">
                  <c:v>715.07881745867917</c:v>
                </c:pt>
                <c:pt idx="23">
                  <c:v>704.86340578069803</c:v>
                </c:pt>
                <c:pt idx="24">
                  <c:v>694.64799410271689</c:v>
                </c:pt>
                <c:pt idx="25">
                  <c:v>684.43258242473576</c:v>
                </c:pt>
                <c:pt idx="26">
                  <c:v>674.21717074675485</c:v>
                </c:pt>
                <c:pt idx="27">
                  <c:v>664.00175906877371</c:v>
                </c:pt>
                <c:pt idx="28">
                  <c:v>653.78634739079257</c:v>
                </c:pt>
                <c:pt idx="29">
                  <c:v>643.57093571281143</c:v>
                </c:pt>
                <c:pt idx="30">
                  <c:v>633.3555240348303</c:v>
                </c:pt>
                <c:pt idx="31">
                  <c:v>623.14011235684927</c:v>
                </c:pt>
                <c:pt idx="32">
                  <c:v>612.92470067886757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AA6-4994-963C-728729024497}"/>
            </c:ext>
          </c:extLst>
        </c:ser>
        <c:ser>
          <c:idx val="8"/>
          <c:order val="2"/>
          <c:tx>
            <c:strRef>
              <c:f>'NREL ATB Storage'!$K$12</c:f>
              <c:strCache>
                <c:ptCount val="1"/>
                <c:pt idx="0">
                  <c:v>4Hr Battery Storage - Conservative</c:v>
                </c:pt>
              </c:strCache>
            </c:strRef>
          </c:tx>
          <c:marker>
            <c:symbol val="none"/>
          </c:marker>
          <c:dPt>
            <c:idx val="1"/>
            <c:bubble3D val="0"/>
            <c:spPr>
              <a:ln>
                <a:headEnd type="oval"/>
              </a:ln>
            </c:spPr>
            <c:extLst>
              <c:ext xmlns:c16="http://schemas.microsoft.com/office/drawing/2014/chart" uri="{C3380CC4-5D6E-409C-BE32-E72D297353CC}">
                <c16:uniqueId val="{00000007-7AA6-4994-963C-728729024497}"/>
              </c:ext>
            </c:extLst>
          </c:dPt>
          <c:xVal>
            <c:numRef>
              <c:f>'NREL ATB Storage'!$L$9:$AR$9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'NREL ATB Storage'!$L$12:$AR$12</c:f>
              <c:numCache>
                <c:formatCode>0</c:formatCode>
                <c:ptCount val="33"/>
                <c:pt idx="0">
                  <c:v>1633.3913360754739</c:v>
                </c:pt>
                <c:pt idx="1">
                  <c:v>1544</c:v>
                </c:pt>
                <c:pt idx="2">
                  <c:v>1503.542245989305</c:v>
                </c:pt>
                <c:pt idx="3">
                  <c:v>1463.0844919786098</c:v>
                </c:pt>
                <c:pt idx="4">
                  <c:v>1422.6267379679143</c:v>
                </c:pt>
                <c:pt idx="5">
                  <c:v>1382.1689839572191</c:v>
                </c:pt>
                <c:pt idx="6">
                  <c:v>1341.7112299465241</c:v>
                </c:pt>
                <c:pt idx="7">
                  <c:v>1301.2534759358286</c:v>
                </c:pt>
                <c:pt idx="8">
                  <c:v>1270.8688770053477</c:v>
                </c:pt>
                <c:pt idx="9">
                  <c:v>1240.4842780748663</c:v>
                </c:pt>
                <c:pt idx="10">
                  <c:v>1210.0996791443849</c:v>
                </c:pt>
                <c:pt idx="11">
                  <c:v>1179.7150802139038</c:v>
                </c:pt>
                <c:pt idx="12">
                  <c:v>1149.3304812834224</c:v>
                </c:pt>
                <c:pt idx="13">
                  <c:v>1134.9638502673797</c:v>
                </c:pt>
                <c:pt idx="14">
                  <c:v>1120.597219251337</c:v>
                </c:pt>
                <c:pt idx="15">
                  <c:v>1106.2305882352944</c:v>
                </c:pt>
                <c:pt idx="16">
                  <c:v>1091.8639572192515</c:v>
                </c:pt>
                <c:pt idx="17">
                  <c:v>1077.4973262032088</c:v>
                </c:pt>
                <c:pt idx="18">
                  <c:v>1063.1306951871661</c:v>
                </c:pt>
                <c:pt idx="19">
                  <c:v>1048.7640641711234</c:v>
                </c:pt>
                <c:pt idx="20">
                  <c:v>1034.3974331550805</c:v>
                </c:pt>
                <c:pt idx="21">
                  <c:v>1020.0308021390377</c:v>
                </c:pt>
                <c:pt idx="22">
                  <c:v>1005.6641711229951</c:v>
                </c:pt>
                <c:pt idx="23">
                  <c:v>991.29754010695228</c:v>
                </c:pt>
                <c:pt idx="24">
                  <c:v>976.93090909090961</c:v>
                </c:pt>
                <c:pt idx="25">
                  <c:v>962.56427807486682</c:v>
                </c:pt>
                <c:pt idx="26">
                  <c:v>948.19764705882415</c:v>
                </c:pt>
                <c:pt idx="27">
                  <c:v>933.83101604278136</c:v>
                </c:pt>
                <c:pt idx="28">
                  <c:v>919.46438502673857</c:v>
                </c:pt>
                <c:pt idx="29">
                  <c:v>905.09775401069578</c:v>
                </c:pt>
                <c:pt idx="30">
                  <c:v>890.73112299465311</c:v>
                </c:pt>
                <c:pt idx="31">
                  <c:v>876.36449197861043</c:v>
                </c:pt>
                <c:pt idx="32">
                  <c:v>861.99786096256707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AA6-4994-963C-728729024497}"/>
            </c:ext>
          </c:extLst>
        </c:ser>
        <c:ser>
          <c:idx val="0"/>
          <c:order val="3"/>
          <c:tx>
            <c:strRef>
              <c:f>'NREL ATB Storage'!$K$13</c:f>
              <c:strCache>
                <c:ptCount val="1"/>
                <c:pt idx="0">
                  <c:v>2Hr Battery Storage - Advanced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'NREL ATB Storage'!$L$9:$AR$9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'NREL ATB Storage'!$L$13:$AR$13</c:f>
              <c:numCache>
                <c:formatCode>0</c:formatCode>
                <c:ptCount val="33"/>
                <c:pt idx="0">
                  <c:v>962.68530817919782</c:v>
                </c:pt>
                <c:pt idx="1">
                  <c:v>910</c:v>
                </c:pt>
                <c:pt idx="2">
                  <c:v>708.76503982126178</c:v>
                </c:pt>
                <c:pt idx="3">
                  <c:v>658.87848232982071</c:v>
                </c:pt>
                <c:pt idx="4">
                  <c:v>608.99192483837953</c:v>
                </c:pt>
                <c:pt idx="5">
                  <c:v>559.10536734693835</c:v>
                </c:pt>
                <c:pt idx="6">
                  <c:v>509.21880985549723</c:v>
                </c:pt>
                <c:pt idx="7">
                  <c:v>459.33225236405622</c:v>
                </c:pt>
                <c:pt idx="8">
                  <c:v>434.34912395301643</c:v>
                </c:pt>
                <c:pt idx="9">
                  <c:v>409.36599554197653</c:v>
                </c:pt>
                <c:pt idx="10">
                  <c:v>384.38286713093669</c:v>
                </c:pt>
                <c:pt idx="11">
                  <c:v>359.39973871989679</c:v>
                </c:pt>
                <c:pt idx="12">
                  <c:v>334.41661030885683</c:v>
                </c:pt>
                <c:pt idx="13">
                  <c:v>327.87367662890091</c:v>
                </c:pt>
                <c:pt idx="14">
                  <c:v>321.33074294894504</c:v>
                </c:pt>
                <c:pt idx="15">
                  <c:v>314.78780926898912</c:v>
                </c:pt>
                <c:pt idx="16">
                  <c:v>308.2448755890332</c:v>
                </c:pt>
                <c:pt idx="17">
                  <c:v>301.70194190907728</c:v>
                </c:pt>
                <c:pt idx="18">
                  <c:v>295.15900822912135</c:v>
                </c:pt>
                <c:pt idx="19">
                  <c:v>288.61607454916543</c:v>
                </c:pt>
                <c:pt idx="20">
                  <c:v>282.07314086920951</c:v>
                </c:pt>
                <c:pt idx="21">
                  <c:v>275.53020718925359</c:v>
                </c:pt>
                <c:pt idx="22">
                  <c:v>268.98727350929772</c:v>
                </c:pt>
                <c:pt idx="23">
                  <c:v>262.4443398293418</c:v>
                </c:pt>
                <c:pt idx="24">
                  <c:v>255.90140614938588</c:v>
                </c:pt>
                <c:pt idx="25">
                  <c:v>249.35847246942996</c:v>
                </c:pt>
                <c:pt idx="26">
                  <c:v>242.81553878947403</c:v>
                </c:pt>
                <c:pt idx="27">
                  <c:v>236.27260510951811</c:v>
                </c:pt>
                <c:pt idx="28">
                  <c:v>229.72967142956222</c:v>
                </c:pt>
                <c:pt idx="29">
                  <c:v>223.18673774960632</c:v>
                </c:pt>
                <c:pt idx="30">
                  <c:v>216.64380406965046</c:v>
                </c:pt>
                <c:pt idx="31">
                  <c:v>210.10087038969453</c:v>
                </c:pt>
                <c:pt idx="32">
                  <c:v>203.55793670973901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AA6-4994-963C-728729024497}"/>
            </c:ext>
          </c:extLst>
        </c:ser>
        <c:ser>
          <c:idx val="1"/>
          <c:order val="4"/>
          <c:tx>
            <c:strRef>
              <c:f>'NREL ATB Storage'!$K$14</c:f>
              <c:strCache>
                <c:ptCount val="1"/>
                <c:pt idx="0">
                  <c:v>2Hr Battery Storage - Moderate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'NREL ATB Storage'!$L$9:$AR$9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'NREL ATB Storage'!$L$14:$AR$14</c:f>
              <c:numCache>
                <c:formatCode>0</c:formatCode>
                <c:ptCount val="33"/>
                <c:pt idx="0">
                  <c:v>962.68530817919782</c:v>
                </c:pt>
                <c:pt idx="1">
                  <c:v>910</c:v>
                </c:pt>
                <c:pt idx="2">
                  <c:v>857.31469182080218</c:v>
                </c:pt>
                <c:pt idx="3">
                  <c:v>804.20758167749966</c:v>
                </c:pt>
                <c:pt idx="4">
                  <c:v>751.10047153419839</c:v>
                </c:pt>
                <c:pt idx="5">
                  <c:v>697.99336139089701</c:v>
                </c:pt>
                <c:pt idx="6">
                  <c:v>644.88625124759574</c:v>
                </c:pt>
                <c:pt idx="7">
                  <c:v>591.77914110429447</c:v>
                </c:pt>
                <c:pt idx="8">
                  <c:v>569.75517430273953</c:v>
                </c:pt>
                <c:pt idx="9">
                  <c:v>547.73120750118449</c:v>
                </c:pt>
                <c:pt idx="10">
                  <c:v>525.70724069962955</c:v>
                </c:pt>
                <c:pt idx="11">
                  <c:v>503.68327389807462</c:v>
                </c:pt>
                <c:pt idx="12">
                  <c:v>481.65930709651929</c:v>
                </c:pt>
                <c:pt idx="13">
                  <c:v>475.6385657578129</c:v>
                </c:pt>
                <c:pt idx="14">
                  <c:v>469.61782441910646</c:v>
                </c:pt>
                <c:pt idx="15">
                  <c:v>463.59708308039995</c:v>
                </c:pt>
                <c:pt idx="16">
                  <c:v>457.57634174169345</c:v>
                </c:pt>
                <c:pt idx="17">
                  <c:v>451.55560040298695</c:v>
                </c:pt>
                <c:pt idx="18">
                  <c:v>445.53485906428057</c:v>
                </c:pt>
                <c:pt idx="19">
                  <c:v>439.51411772557401</c:v>
                </c:pt>
                <c:pt idx="20">
                  <c:v>433.49337638686757</c:v>
                </c:pt>
                <c:pt idx="21">
                  <c:v>427.47263504816107</c:v>
                </c:pt>
                <c:pt idx="22">
                  <c:v>421.45189370945468</c:v>
                </c:pt>
                <c:pt idx="23">
                  <c:v>415.43115237074824</c:v>
                </c:pt>
                <c:pt idx="24">
                  <c:v>409.41041103204168</c:v>
                </c:pt>
                <c:pt idx="25">
                  <c:v>403.38966969333524</c:v>
                </c:pt>
                <c:pt idx="26">
                  <c:v>397.36892835462879</c:v>
                </c:pt>
                <c:pt idx="27">
                  <c:v>391.34818701592229</c:v>
                </c:pt>
                <c:pt idx="28">
                  <c:v>385.32744567721579</c:v>
                </c:pt>
                <c:pt idx="29">
                  <c:v>379.30670433850935</c:v>
                </c:pt>
                <c:pt idx="30">
                  <c:v>373.28596299980279</c:v>
                </c:pt>
                <c:pt idx="31">
                  <c:v>367.2652216610964</c:v>
                </c:pt>
                <c:pt idx="32">
                  <c:v>361.24448032238956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AA6-4994-963C-728729024497}"/>
            </c:ext>
          </c:extLst>
        </c:ser>
        <c:ser>
          <c:idx val="2"/>
          <c:order val="5"/>
          <c:tx>
            <c:strRef>
              <c:f>'NREL ATB Storage'!$K$15</c:f>
              <c:strCache>
                <c:ptCount val="1"/>
                <c:pt idx="0">
                  <c:v>2Hr Battery Storage - Conservative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dPt>
            <c:idx val="0"/>
            <c:marker>
              <c:symbol val="circle"/>
              <c:size val="7"/>
            </c:marker>
            <c:bubble3D val="0"/>
            <c:extLst>
              <c:ext xmlns:c16="http://schemas.microsoft.com/office/drawing/2014/chart" uri="{C3380CC4-5D6E-409C-BE32-E72D297353CC}">
                <c16:uniqueId val="{0000000B-7AA6-4994-963C-728729024497}"/>
              </c:ext>
            </c:extLst>
          </c:dPt>
          <c:xVal>
            <c:numRef>
              <c:f>'NREL ATB Storage'!$L$9:$AR$9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'NREL ATB Storage'!$L$15:$AR$15</c:f>
              <c:numCache>
                <c:formatCode>0</c:formatCode>
                <c:ptCount val="33"/>
                <c:pt idx="0">
                  <c:v>962.68530817919782</c:v>
                </c:pt>
                <c:pt idx="1">
                  <c:v>910</c:v>
                </c:pt>
                <c:pt idx="2">
                  <c:v>886.15508021390383</c:v>
                </c:pt>
                <c:pt idx="3">
                  <c:v>862.31016042780766</c:v>
                </c:pt>
                <c:pt idx="4">
                  <c:v>838.46524064171126</c:v>
                </c:pt>
                <c:pt idx="5">
                  <c:v>814.62032085561486</c:v>
                </c:pt>
                <c:pt idx="6">
                  <c:v>790.77540106951881</c:v>
                </c:pt>
                <c:pt idx="7">
                  <c:v>766.93048128342241</c:v>
                </c:pt>
                <c:pt idx="8">
                  <c:v>749.02245989304811</c:v>
                </c:pt>
                <c:pt idx="9">
                  <c:v>731.11443850267381</c:v>
                </c:pt>
                <c:pt idx="10">
                  <c:v>713.20641711229939</c:v>
                </c:pt>
                <c:pt idx="11">
                  <c:v>695.2983957219252</c:v>
                </c:pt>
                <c:pt idx="12">
                  <c:v>677.39037433155079</c:v>
                </c:pt>
                <c:pt idx="13">
                  <c:v>668.92299465240649</c:v>
                </c:pt>
                <c:pt idx="14">
                  <c:v>660.45561497326207</c:v>
                </c:pt>
                <c:pt idx="15">
                  <c:v>651.98823529411777</c:v>
                </c:pt>
                <c:pt idx="16">
                  <c:v>643.52085561497336</c:v>
                </c:pt>
                <c:pt idx="17">
                  <c:v>635.05347593582906</c:v>
                </c:pt>
                <c:pt idx="18">
                  <c:v>626.58609625668464</c:v>
                </c:pt>
                <c:pt idx="19">
                  <c:v>618.11871657754034</c:v>
                </c:pt>
                <c:pt idx="20">
                  <c:v>609.65133689839593</c:v>
                </c:pt>
                <c:pt idx="21">
                  <c:v>601.18395721925151</c:v>
                </c:pt>
                <c:pt idx="22">
                  <c:v>592.71657754010721</c:v>
                </c:pt>
                <c:pt idx="23">
                  <c:v>584.24919786096279</c:v>
                </c:pt>
                <c:pt idx="24">
                  <c:v>575.78181818181849</c:v>
                </c:pt>
                <c:pt idx="25">
                  <c:v>567.31443850267408</c:v>
                </c:pt>
                <c:pt idx="26">
                  <c:v>558.84705882352978</c:v>
                </c:pt>
                <c:pt idx="27">
                  <c:v>550.37967914438536</c:v>
                </c:pt>
                <c:pt idx="28">
                  <c:v>541.91229946524095</c:v>
                </c:pt>
                <c:pt idx="29">
                  <c:v>533.44491978609665</c:v>
                </c:pt>
                <c:pt idx="30">
                  <c:v>524.97754010695235</c:v>
                </c:pt>
                <c:pt idx="31">
                  <c:v>516.51016042780793</c:v>
                </c:pt>
                <c:pt idx="32">
                  <c:v>508.04278074866323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AA6-4994-963C-728729024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594688"/>
        <c:axId val="260604672"/>
      </c:scatterChart>
      <c:valAx>
        <c:axId val="260594688"/>
        <c:scaling>
          <c:orientation val="minMax"/>
          <c:max val="2050"/>
          <c:min val="2015"/>
        </c:scaling>
        <c:delete val="0"/>
        <c:axPos val="b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60604672"/>
        <c:crosses val="autoZero"/>
        <c:crossBetween val="midCat"/>
        <c:majorUnit val="5"/>
        <c:minorUnit val="1"/>
      </c:valAx>
      <c:valAx>
        <c:axId val="260604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400" baseline="0"/>
                  <a:t>Battery Storage CAPEX </a:t>
                </a:r>
                <a:r>
                  <a:rPr lang="en-US" sz="1400"/>
                  <a:t>($/kW)</a:t>
                </a:r>
              </a:p>
            </c:rich>
          </c:tx>
          <c:layout>
            <c:manualLayout>
              <c:xMode val="edge"/>
              <c:yMode val="edge"/>
              <c:x val="6.9494199918827403E-4"/>
              <c:y val="0.28281261507056299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605946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529676578068949"/>
          <c:y val="0.14124927484268648"/>
          <c:w val="0.20452126277156166"/>
          <c:h val="0.2428945159862483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244705902311"/>
          <c:y val="9.61545504486358E-2"/>
          <c:w val="0.86032739064017805"/>
          <c:h val="0.79063854418389101"/>
        </c:manualLayout>
      </c:layout>
      <c:scatterChart>
        <c:scatterStyle val="lineMarker"/>
        <c:varyColors val="0"/>
        <c:ser>
          <c:idx val="6"/>
          <c:order val="0"/>
          <c:tx>
            <c:strRef>
              <c:f>'NREL ATB Storage'!$K$17</c:f>
              <c:strCache>
                <c:ptCount val="1"/>
                <c:pt idx="0">
                  <c:v>4Hr Battery Storage - Advanced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chemeClr val="accent1"/>
                </a:solidFill>
                <a:headEnd type="oval"/>
              </a:ln>
            </c:spPr>
            <c:extLst>
              <c:ext xmlns:c16="http://schemas.microsoft.com/office/drawing/2014/chart" uri="{C3380CC4-5D6E-409C-BE32-E72D297353CC}">
                <c16:uniqueId val="{00000001-46CB-4A14-A49C-8C20654E6E4F}"/>
              </c:ext>
            </c:extLst>
          </c:dPt>
          <c:xVal>
            <c:numRef>
              <c:f>'NREL ATB Storage'!$L$9:$AR$9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'NREL ATB Storage'!$L$17:$AR$17</c:f>
              <c:numCache>
                <c:formatCode>0.00</c:formatCode>
                <c:ptCount val="33"/>
                <c:pt idx="0">
                  <c:v>40.834783401886853</c:v>
                </c:pt>
                <c:pt idx="1">
                  <c:v>38.6</c:v>
                </c:pt>
                <c:pt idx="2">
                  <c:v>30.064099491319457</c:v>
                </c:pt>
                <c:pt idx="3">
                  <c:v>27.948032327396788</c:v>
                </c:pt>
                <c:pt idx="4">
                  <c:v>25.831965163474123</c:v>
                </c:pt>
                <c:pt idx="5">
                  <c:v>23.715897999551455</c:v>
                </c:pt>
                <c:pt idx="6">
                  <c:v>21.599830835628786</c:v>
                </c:pt>
                <c:pt idx="7">
                  <c:v>19.483763671706125</c:v>
                </c:pt>
                <c:pt idx="8">
                  <c:v>18.424039763281797</c:v>
                </c:pt>
                <c:pt idx="9">
                  <c:v>17.364315854857466</c:v>
                </c:pt>
                <c:pt idx="10">
                  <c:v>16.304591946433142</c:v>
                </c:pt>
                <c:pt idx="11">
                  <c:v>15.244868038008811</c:v>
                </c:pt>
                <c:pt idx="12">
                  <c:v>14.185144129584479</c:v>
                </c:pt>
                <c:pt idx="13">
                  <c:v>13.907608700962172</c:v>
                </c:pt>
                <c:pt idx="14">
                  <c:v>13.630073272339866</c:v>
                </c:pt>
                <c:pt idx="15">
                  <c:v>13.35253784371756</c:v>
                </c:pt>
                <c:pt idx="16">
                  <c:v>13.075002415095254</c:v>
                </c:pt>
                <c:pt idx="17">
                  <c:v>12.797466986472948</c:v>
                </c:pt>
                <c:pt idx="18">
                  <c:v>12.519931557850644</c:v>
                </c:pt>
                <c:pt idx="19">
                  <c:v>12.242396129228338</c:v>
                </c:pt>
                <c:pt idx="20">
                  <c:v>11.964860700606032</c:v>
                </c:pt>
                <c:pt idx="21">
                  <c:v>11.687325271983724</c:v>
                </c:pt>
                <c:pt idx="22">
                  <c:v>11.40978984336142</c:v>
                </c:pt>
                <c:pt idx="23">
                  <c:v>11.132254414739114</c:v>
                </c:pt>
                <c:pt idx="24">
                  <c:v>10.854718986116808</c:v>
                </c:pt>
                <c:pt idx="25">
                  <c:v>10.577183557494502</c:v>
                </c:pt>
                <c:pt idx="26">
                  <c:v>10.299648128872196</c:v>
                </c:pt>
                <c:pt idx="27">
                  <c:v>10.02211270024989</c:v>
                </c:pt>
                <c:pt idx="28">
                  <c:v>9.744577271627584</c:v>
                </c:pt>
                <c:pt idx="29">
                  <c:v>9.4670418430052798</c:v>
                </c:pt>
                <c:pt idx="30">
                  <c:v>9.1895064143829739</c:v>
                </c:pt>
                <c:pt idx="31">
                  <c:v>8.9119709857606697</c:v>
                </c:pt>
                <c:pt idx="32">
                  <c:v>8.6344355571383797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CB-4A14-A49C-8C20654E6E4F}"/>
            </c:ext>
          </c:extLst>
        </c:ser>
        <c:ser>
          <c:idx val="0"/>
          <c:order val="1"/>
          <c:tx>
            <c:strRef>
              <c:f>'NREL ATB Storage'!$K$18</c:f>
              <c:strCache>
                <c:ptCount val="1"/>
                <c:pt idx="0">
                  <c:v>4Hr Battery Storage - Moderate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'NREL ATB Storage'!$L$9:$AR$9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'NREL ATB Storage'!$L$18:$AR$18</c:f>
              <c:numCache>
                <c:formatCode>0.00</c:formatCode>
                <c:ptCount val="33"/>
                <c:pt idx="0">
                  <c:v>40.834783401886853</c:v>
                </c:pt>
                <c:pt idx="1">
                  <c:v>38.6</c:v>
                </c:pt>
                <c:pt idx="2">
                  <c:v>36.365216598113157</c:v>
                </c:pt>
                <c:pt idx="3">
                  <c:v>34.112541376649993</c:v>
                </c:pt>
                <c:pt idx="4">
                  <c:v>31.859866155186879</c:v>
                </c:pt>
                <c:pt idx="5">
                  <c:v>29.607190933723771</c:v>
                </c:pt>
                <c:pt idx="6">
                  <c:v>27.354515712260657</c:v>
                </c:pt>
                <c:pt idx="7">
                  <c:v>25.101840490797549</c:v>
                </c:pt>
                <c:pt idx="8">
                  <c:v>24.16763706383049</c:v>
                </c:pt>
                <c:pt idx="9">
                  <c:v>23.233433636863431</c:v>
                </c:pt>
                <c:pt idx="10">
                  <c:v>22.299230209896375</c:v>
                </c:pt>
                <c:pt idx="11">
                  <c:v>21.36502678292932</c:v>
                </c:pt>
                <c:pt idx="12">
                  <c:v>20.430823355962247</c:v>
                </c:pt>
                <c:pt idx="13">
                  <c:v>20.175438064012724</c:v>
                </c:pt>
                <c:pt idx="14">
                  <c:v>19.920052772063197</c:v>
                </c:pt>
                <c:pt idx="15">
                  <c:v>19.664667480113668</c:v>
                </c:pt>
                <c:pt idx="16">
                  <c:v>19.409282188164141</c:v>
                </c:pt>
                <c:pt idx="17">
                  <c:v>19.153896896214611</c:v>
                </c:pt>
                <c:pt idx="18">
                  <c:v>18.898511604265089</c:v>
                </c:pt>
                <c:pt idx="19">
                  <c:v>18.643126312315559</c:v>
                </c:pt>
                <c:pt idx="20">
                  <c:v>18.387741020366033</c:v>
                </c:pt>
                <c:pt idx="21">
                  <c:v>18.132355728416503</c:v>
                </c:pt>
                <c:pt idx="22">
                  <c:v>17.87697043646698</c:v>
                </c:pt>
                <c:pt idx="23">
                  <c:v>17.62158514451745</c:v>
                </c:pt>
                <c:pt idx="24">
                  <c:v>17.366199852567924</c:v>
                </c:pt>
                <c:pt idx="25">
                  <c:v>17.110814560618394</c:v>
                </c:pt>
                <c:pt idx="26">
                  <c:v>16.855429268668871</c:v>
                </c:pt>
                <c:pt idx="27">
                  <c:v>16.600043976719345</c:v>
                </c:pt>
                <c:pt idx="28">
                  <c:v>16.344658684769815</c:v>
                </c:pt>
                <c:pt idx="29">
                  <c:v>16.089273392820285</c:v>
                </c:pt>
                <c:pt idx="30">
                  <c:v>15.833888100870759</c:v>
                </c:pt>
                <c:pt idx="31">
                  <c:v>15.578502808921233</c:v>
                </c:pt>
                <c:pt idx="32">
                  <c:v>15.32311751697169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6CB-4A14-A49C-8C20654E6E4F}"/>
            </c:ext>
          </c:extLst>
        </c:ser>
        <c:ser>
          <c:idx val="1"/>
          <c:order val="2"/>
          <c:tx>
            <c:strRef>
              <c:f>'NREL ATB Storage'!$K$19</c:f>
              <c:strCache>
                <c:ptCount val="1"/>
                <c:pt idx="0">
                  <c:v>4Hr Battery Storage - Conservative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'NREL ATB Storage'!$L$9:$AR$9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'NREL ATB Storage'!$L$19:$AR$19</c:f>
              <c:numCache>
                <c:formatCode>0.00</c:formatCode>
                <c:ptCount val="33"/>
                <c:pt idx="0">
                  <c:v>40.834783401886853</c:v>
                </c:pt>
                <c:pt idx="1">
                  <c:v>38.6</c:v>
                </c:pt>
                <c:pt idx="2">
                  <c:v>37.588556149732625</c:v>
                </c:pt>
                <c:pt idx="3">
                  <c:v>36.577112299465249</c:v>
                </c:pt>
                <c:pt idx="4">
                  <c:v>35.565668449197858</c:v>
                </c:pt>
                <c:pt idx="5">
                  <c:v>34.554224598930482</c:v>
                </c:pt>
                <c:pt idx="6">
                  <c:v>33.542780748663105</c:v>
                </c:pt>
                <c:pt idx="7">
                  <c:v>32.531336898395715</c:v>
                </c:pt>
                <c:pt idx="8">
                  <c:v>31.771721925133694</c:v>
                </c:pt>
                <c:pt idx="9">
                  <c:v>31.012106951871658</c:v>
                </c:pt>
                <c:pt idx="10">
                  <c:v>30.252491978609626</c:v>
                </c:pt>
                <c:pt idx="11">
                  <c:v>29.492877005347594</c:v>
                </c:pt>
                <c:pt idx="12">
                  <c:v>28.733262032085563</c:v>
                </c:pt>
                <c:pt idx="13">
                  <c:v>28.374096256684496</c:v>
                </c:pt>
                <c:pt idx="14">
                  <c:v>28.014930481283429</c:v>
                </c:pt>
                <c:pt idx="15">
                  <c:v>27.655764705882362</c:v>
                </c:pt>
                <c:pt idx="16">
                  <c:v>27.296598930481288</c:v>
                </c:pt>
                <c:pt idx="17">
                  <c:v>26.937433155080221</c:v>
                </c:pt>
                <c:pt idx="18">
                  <c:v>26.578267379679154</c:v>
                </c:pt>
                <c:pt idx="19">
                  <c:v>26.219101604278087</c:v>
                </c:pt>
                <c:pt idx="20">
                  <c:v>25.859935828877013</c:v>
                </c:pt>
                <c:pt idx="21">
                  <c:v>25.500770053475946</c:v>
                </c:pt>
                <c:pt idx="22">
                  <c:v>25.14160427807488</c:v>
                </c:pt>
                <c:pt idx="23">
                  <c:v>24.782438502673809</c:v>
                </c:pt>
                <c:pt idx="24">
                  <c:v>24.423272727272742</c:v>
                </c:pt>
                <c:pt idx="25">
                  <c:v>24.064106951871672</c:v>
                </c:pt>
                <c:pt idx="26">
                  <c:v>23.704941176470605</c:v>
                </c:pt>
                <c:pt idx="27">
                  <c:v>23.345775401069535</c:v>
                </c:pt>
                <c:pt idx="28">
                  <c:v>22.986609625668464</c:v>
                </c:pt>
                <c:pt idx="29">
                  <c:v>22.627443850267397</c:v>
                </c:pt>
                <c:pt idx="30">
                  <c:v>22.26827807486633</c:v>
                </c:pt>
                <c:pt idx="31">
                  <c:v>21.909112299465264</c:v>
                </c:pt>
                <c:pt idx="32">
                  <c:v>21.549946524064179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6CB-4A14-A49C-8C20654E6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594688"/>
        <c:axId val="260604672"/>
      </c:scatterChart>
      <c:valAx>
        <c:axId val="260594688"/>
        <c:scaling>
          <c:orientation val="minMax"/>
          <c:max val="2050"/>
          <c:min val="2015"/>
        </c:scaling>
        <c:delete val="0"/>
        <c:axPos val="b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60604672"/>
        <c:crosses val="autoZero"/>
        <c:crossBetween val="midCat"/>
        <c:majorUnit val="5"/>
        <c:minorUnit val="1"/>
      </c:valAx>
      <c:valAx>
        <c:axId val="260604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400" baseline="0"/>
                  <a:t>Battery Storage Fixed Operation and Maintenance </a:t>
                </a:r>
                <a:r>
                  <a:rPr lang="en-US" sz="1400"/>
                  <a:t>($/kW-yr)</a:t>
                </a:r>
              </a:p>
            </c:rich>
          </c:tx>
          <c:layout>
            <c:manualLayout>
              <c:xMode val="edge"/>
              <c:yMode val="edge"/>
              <c:x val="9.6772345534765318E-3"/>
              <c:y val="0.10164968389211522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60594688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2029816017193726"/>
          <c:y val="0.6134070639293272"/>
          <c:w val="0.21585057482035924"/>
          <c:h val="0.22592847475350375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244705902311"/>
          <c:y val="9.61545504486358E-2"/>
          <c:w val="0.86032739064017805"/>
          <c:h val="0.79063854418389101"/>
        </c:manualLayout>
      </c:layout>
      <c:scatterChart>
        <c:scatterStyle val="lineMarker"/>
        <c:varyColors val="0"/>
        <c:ser>
          <c:idx val="6"/>
          <c:order val="0"/>
          <c:tx>
            <c:strRef>
              <c:f>'NREL ATB Storage'!$K$25</c:f>
              <c:strCache>
                <c:ptCount val="1"/>
                <c:pt idx="0">
                  <c:v>4Hr Battery Storage - Advanced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chemeClr val="accent1"/>
                </a:solidFill>
                <a:headEnd type="oval"/>
              </a:ln>
            </c:spPr>
            <c:extLst>
              <c:ext xmlns:c16="http://schemas.microsoft.com/office/drawing/2014/chart" uri="{C3380CC4-5D6E-409C-BE32-E72D297353CC}">
                <c16:uniqueId val="{00000001-00A3-47AC-BE4D-5E889E5530E6}"/>
              </c:ext>
            </c:extLst>
          </c:dPt>
          <c:xVal>
            <c:numRef>
              <c:f>'NREL ATB Storage'!$L$9:$AR$9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'NREL ATB Storage'!$L$25:$AR$25</c:f>
              <c:numCache>
                <c:formatCode>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0A3-47AC-BE4D-5E889E5530E6}"/>
            </c:ext>
          </c:extLst>
        </c:ser>
        <c:ser>
          <c:idx val="0"/>
          <c:order val="1"/>
          <c:tx>
            <c:strRef>
              <c:f>'NREL ATB Storage'!$K$26</c:f>
              <c:strCache>
                <c:ptCount val="1"/>
                <c:pt idx="0">
                  <c:v>4Hr Battery Storage - Moderate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'NREL ATB Storage'!$L$9:$AR$9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'NREL ATB Storage'!$L$26:$AR$26</c:f>
              <c:numCache>
                <c:formatCode>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0A3-47AC-BE4D-5E889E5530E6}"/>
            </c:ext>
          </c:extLst>
        </c:ser>
        <c:ser>
          <c:idx val="1"/>
          <c:order val="2"/>
          <c:tx>
            <c:strRef>
              <c:f>'NREL ATB Storage'!$K$27</c:f>
              <c:strCache>
                <c:ptCount val="1"/>
                <c:pt idx="0">
                  <c:v>4Hr Battery Storage - Conservative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'NREL ATB Storage'!$L$9:$AR$9</c:f>
              <c:numCache>
                <c:formatCode>General</c:formatCode>
                <c:ptCount val="3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</c:numCache>
            </c:numRef>
          </c:xVal>
          <c:yVal>
            <c:numRef>
              <c:f>'NREL ATB Storage'!$L$27:$AR$27</c:f>
              <c:numCache>
                <c:formatCode>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0A3-47AC-BE4D-5E889E553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594688"/>
        <c:axId val="260604672"/>
      </c:scatterChart>
      <c:valAx>
        <c:axId val="260594688"/>
        <c:scaling>
          <c:orientation val="minMax"/>
          <c:max val="2050"/>
          <c:min val="2015"/>
        </c:scaling>
        <c:delete val="0"/>
        <c:axPos val="b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60604672"/>
        <c:crosses val="autoZero"/>
        <c:crossBetween val="midCat"/>
        <c:majorUnit val="5"/>
        <c:minorUnit val="1"/>
      </c:valAx>
      <c:valAx>
        <c:axId val="260604672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400" b="1" i="0" kern="1200" baseline="0">
                    <a:solidFill>
                      <a:srgbClr val="000000"/>
                    </a:solidFill>
                    <a:effectLst/>
                  </a:rPr>
                  <a:t>Battery Storage Fixed Operation and Maintenance ($/MWh)</a:t>
                </a:r>
                <a:endParaRPr lang="en-US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168363954053978E-2"/>
              <c:y val="8.1501438592495618E-2"/>
            </c:manualLayout>
          </c:layout>
          <c:overlay val="0"/>
        </c:title>
        <c:numFmt formatCode="&quot;$&quot;#,##0.0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60594688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53017694165757689"/>
          <c:y val="0.13432269105111208"/>
          <c:w val="0.2259556159716585"/>
          <c:h val="0.16996068681554038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ATB 2020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Sheet1!$F$4:$Y$4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Sheet1!$F$6:$Y$6</c:f>
              <c:numCache>
                <c:formatCode>General</c:formatCode>
                <c:ptCount val="20"/>
                <c:pt idx="0">
                  <c:v>1402.4653924900706</c:v>
                </c:pt>
                <c:pt idx="1">
                  <c:v>1309.8513886332821</c:v>
                </c:pt>
                <c:pt idx="2">
                  <c:v>1217.2373847764936</c:v>
                </c:pt>
                <c:pt idx="3">
                  <c:v>1124.6233809197051</c:v>
                </c:pt>
                <c:pt idx="4">
                  <c:v>1032.0093770629169</c:v>
                </c:pt>
                <c:pt idx="5">
                  <c:v>993.60156799936374</c:v>
                </c:pt>
                <c:pt idx="6">
                  <c:v>955.19375893581071</c:v>
                </c:pt>
                <c:pt idx="7">
                  <c:v>916.78594987225779</c:v>
                </c:pt>
                <c:pt idx="8">
                  <c:v>878.37814080870487</c:v>
                </c:pt>
                <c:pt idx="9">
                  <c:v>839.97033174515138</c:v>
                </c:pt>
                <c:pt idx="10">
                  <c:v>829.4707025983372</c:v>
                </c:pt>
                <c:pt idx="11">
                  <c:v>818.97107345152278</c:v>
                </c:pt>
                <c:pt idx="12">
                  <c:v>808.47144430470837</c:v>
                </c:pt>
                <c:pt idx="13">
                  <c:v>797.97181515789396</c:v>
                </c:pt>
                <c:pt idx="14">
                  <c:v>787.47218601107954</c:v>
                </c:pt>
                <c:pt idx="15">
                  <c:v>776.97255686426536</c:v>
                </c:pt>
                <c:pt idx="16">
                  <c:v>766.47292771745094</c:v>
                </c:pt>
                <c:pt idx="17">
                  <c:v>755.97329857063653</c:v>
                </c:pt>
                <c:pt idx="18">
                  <c:v>745.47366942382212</c:v>
                </c:pt>
                <c:pt idx="19">
                  <c:v>734.97404027700804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F0-4B02-994A-FFAE3B99BF1A}"/>
            </c:ext>
          </c:extLst>
        </c:ser>
        <c:ser>
          <c:idx val="1"/>
          <c:order val="1"/>
          <c:tx>
            <c:v>EIA AEO2021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Sheet1!$F$4:$Y$4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Sheet1!$F$9:$Y$9</c:f>
              <c:numCache>
                <c:formatCode>General</c:formatCode>
                <c:ptCount val="20"/>
                <c:pt idx="0">
                  <c:v>1165.2860109999999</c:v>
                </c:pt>
                <c:pt idx="1">
                  <c:v>1034.786255</c:v>
                </c:pt>
                <c:pt idx="2">
                  <c:v>936.708618</c:v>
                </c:pt>
                <c:pt idx="3">
                  <c:v>902.99658199999999</c:v>
                </c:pt>
                <c:pt idx="4">
                  <c:v>885.07458499999996</c:v>
                </c:pt>
                <c:pt idx="5">
                  <c:v>861.58752400000003</c:v>
                </c:pt>
                <c:pt idx="6">
                  <c:v>821.81994599999996</c:v>
                </c:pt>
                <c:pt idx="7">
                  <c:v>796.728882</c:v>
                </c:pt>
                <c:pt idx="8">
                  <c:v>771.07086200000003</c:v>
                </c:pt>
                <c:pt idx="9">
                  <c:v>745.27203399999996</c:v>
                </c:pt>
                <c:pt idx="10">
                  <c:v>720.08288600000003</c:v>
                </c:pt>
                <c:pt idx="11">
                  <c:v>694.68353300000001</c:v>
                </c:pt>
                <c:pt idx="12">
                  <c:v>670.35375999999997</c:v>
                </c:pt>
                <c:pt idx="13">
                  <c:v>650.614014</c:v>
                </c:pt>
                <c:pt idx="14">
                  <c:v>644.11059599999999</c:v>
                </c:pt>
                <c:pt idx="15">
                  <c:v>637.743469</c:v>
                </c:pt>
                <c:pt idx="16">
                  <c:v>631.89398200000005</c:v>
                </c:pt>
                <c:pt idx="17">
                  <c:v>626.230591</c:v>
                </c:pt>
                <c:pt idx="18">
                  <c:v>620.52191200000004</c:v>
                </c:pt>
                <c:pt idx="19">
                  <c:v>614.55285600000002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F0-4B02-994A-FFAE3B99BF1A}"/>
            </c:ext>
          </c:extLst>
        </c:ser>
        <c:ser>
          <c:idx val="2"/>
          <c:order val="2"/>
          <c:tx>
            <c:v>ATB Low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Sheet1!$F$8:$Y$8</c:f>
              <c:numCache>
                <c:formatCode>General</c:formatCode>
                <c:ptCount val="20"/>
                <c:pt idx="0">
                  <c:v>1149.0245682544619</c:v>
                </c:pt>
                <c:pt idx="1">
                  <c:v>1062.0269173665233</c:v>
                </c:pt>
                <c:pt idx="2">
                  <c:v>975.02926647858465</c:v>
                </c:pt>
                <c:pt idx="3">
                  <c:v>888.03161559064608</c:v>
                </c:pt>
                <c:pt idx="4">
                  <c:v>801.03396470270775</c:v>
                </c:pt>
                <c:pt idx="5">
                  <c:v>757.46564504134255</c:v>
                </c:pt>
                <c:pt idx="6">
                  <c:v>713.89732537997713</c:v>
                </c:pt>
                <c:pt idx="7">
                  <c:v>670.32900571861194</c:v>
                </c:pt>
                <c:pt idx="8">
                  <c:v>626.76068605724652</c:v>
                </c:pt>
                <c:pt idx="9">
                  <c:v>583.19236639588109</c:v>
                </c:pt>
                <c:pt idx="10">
                  <c:v>571.78208096639639</c:v>
                </c:pt>
                <c:pt idx="11">
                  <c:v>560.3717955369118</c:v>
                </c:pt>
                <c:pt idx="12">
                  <c:v>548.9615101074271</c:v>
                </c:pt>
                <c:pt idx="13">
                  <c:v>537.5512246779424</c:v>
                </c:pt>
                <c:pt idx="14">
                  <c:v>526.14093924845781</c:v>
                </c:pt>
                <c:pt idx="15">
                  <c:v>514.73065381897311</c:v>
                </c:pt>
                <c:pt idx="16">
                  <c:v>503.32036838948846</c:v>
                </c:pt>
                <c:pt idx="17">
                  <c:v>491.91008296000376</c:v>
                </c:pt>
                <c:pt idx="18">
                  <c:v>480.49979753051906</c:v>
                </c:pt>
                <c:pt idx="19">
                  <c:v>469.08951210103447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C6-4F7B-A985-55427E0F1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7646304"/>
        <c:axId val="267650048"/>
      </c:lineChart>
      <c:catAx>
        <c:axId val="26764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650048"/>
        <c:crosses val="autoZero"/>
        <c:auto val="1"/>
        <c:lblAlgn val="ctr"/>
        <c:lblOffset val="100"/>
        <c:noMultiLvlLbl val="0"/>
      </c:catAx>
      <c:valAx>
        <c:axId val="26765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Overnight CapEx (2020$/kW)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64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v>APCo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Sheet1!$F$4:$Y$4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Sheet1!$F$14:$Y$14</c:f>
              <c:numCache>
                <c:formatCode>General</c:formatCode>
                <c:ptCount val="20"/>
                <c:pt idx="0">
                  <c:v>1990.8766946727951</c:v>
                </c:pt>
                <c:pt idx="1">
                  <c:v>1914.5103882742208</c:v>
                </c:pt>
                <c:pt idx="2">
                  <c:v>1855.045173871056</c:v>
                </c:pt>
                <c:pt idx="3">
                  <c:v>2157.6434416745192</c:v>
                </c:pt>
                <c:pt idx="4">
                  <c:v>2302.6717765131511</c:v>
                </c:pt>
                <c:pt idx="5">
                  <c:v>2286.8659268198576</c:v>
                </c:pt>
                <c:pt idx="6">
                  <c:v>2281.1159047337446</c:v>
                </c:pt>
                <c:pt idx="7">
                  <c:v>2278.0825130636658</c:v>
                </c:pt>
                <c:pt idx="8">
                  <c:v>2275.4839970135458</c:v>
                </c:pt>
                <c:pt idx="9">
                  <c:v>2275.4410463350314</c:v>
                </c:pt>
                <c:pt idx="10">
                  <c:v>2280.7615616360004</c:v>
                </c:pt>
                <c:pt idx="11">
                  <c:v>2289.2711648166628</c:v>
                </c:pt>
                <c:pt idx="12">
                  <c:v>2294.2104928458166</c:v>
                </c:pt>
                <c:pt idx="13">
                  <c:v>2297.7431861536243</c:v>
                </c:pt>
                <c:pt idx="14">
                  <c:v>2296.5298294855929</c:v>
                </c:pt>
                <c:pt idx="15">
                  <c:v>2298.2156436172827</c:v>
                </c:pt>
                <c:pt idx="16">
                  <c:v>2296.3848709456065</c:v>
                </c:pt>
                <c:pt idx="17">
                  <c:v>2293.0561933607419</c:v>
                </c:pt>
                <c:pt idx="18">
                  <c:v>2292.0575900852828</c:v>
                </c:pt>
                <c:pt idx="19">
                  <c:v>2294.3500825509877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D6-43FB-8C7B-B8066DF4D4EA}"/>
            </c:ext>
          </c:extLst>
        </c:ser>
        <c:ser>
          <c:idx val="0"/>
          <c:order val="1"/>
          <c:tx>
            <c:v>NREL ATB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Sheet1!$F$4:$Y$4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Sheet1!$F$12:$Y$12</c:f>
              <c:numCache>
                <c:formatCode>General</c:formatCode>
                <c:ptCount val="20"/>
                <c:pt idx="0">
                  <c:v>1437.5270273023223</c:v>
                </c:pt>
                <c:pt idx="1">
                  <c:v>1376.1626151828418</c:v>
                </c:pt>
                <c:pt idx="2">
                  <c:v>1310.8315280653235</c:v>
                </c:pt>
                <c:pt idx="3">
                  <c:v>1241.37378495744</c:v>
                </c:pt>
                <c:pt idx="4">
                  <c:v>1167.6238849891215</c:v>
                </c:pt>
                <c:pt idx="5">
                  <c:v>1152.2731987348695</c:v>
                </c:pt>
                <c:pt idx="6">
                  <c:v>1135.4252132397871</c:v>
                </c:pt>
                <c:pt idx="7">
                  <c:v>1117.0146577207411</c:v>
                </c:pt>
                <c:pt idx="8">
                  <c:v>1096.9739336674679</c:v>
                </c:pt>
                <c:pt idx="9">
                  <c:v>1075.233039250455</c:v>
                </c:pt>
                <c:pt idx="10">
                  <c:v>1088.3374419163201</c:v>
                </c:pt>
                <c:pt idx="11">
                  <c:v>1101.4250440659466</c:v>
                </c:pt>
                <c:pt idx="12">
                  <c:v>1114.4868154218568</c:v>
                </c:pt>
                <c:pt idx="13">
                  <c:v>1127.5132846930212</c:v>
                </c:pt>
                <c:pt idx="14">
                  <c:v>1140.4945231681056</c:v>
                </c:pt>
                <c:pt idx="15">
                  <c:v>1153.4201277640109</c:v>
                </c:pt>
                <c:pt idx="16">
                  <c:v>1166.2792035127311</c:v>
                </c:pt>
                <c:pt idx="17">
                  <c:v>1179.0603454690352</c:v>
                </c:pt>
                <c:pt idx="18">
                  <c:v>1191.7516200209586</c:v>
                </c:pt>
                <c:pt idx="19">
                  <c:v>1204.3405455845607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D6-43FB-8C7B-B8066DF4D4EA}"/>
            </c:ext>
          </c:extLst>
        </c:ser>
        <c:ser>
          <c:idx val="1"/>
          <c:order val="2"/>
          <c:tx>
            <c:v>EIA AEO2021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Sheet1!$F$4:$Y$4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Sheet1!$F$13:$Y$13</c:f>
              <c:numCache>
                <c:formatCode>General</c:formatCode>
                <c:ptCount val="20"/>
                <c:pt idx="0">
                  <c:v>1194.4181612749999</c:v>
                </c:pt>
                <c:pt idx="1">
                  <c:v>1087.1723091593749</c:v>
                </c:pt>
                <c:pt idx="2">
                  <c:v>1008.7327290809061</c:v>
                </c:pt>
                <c:pt idx="3">
                  <c:v>996.73926740191462</c:v>
                </c:pt>
                <c:pt idx="4">
                  <c:v>1001.3806544897612</c:v>
                </c:pt>
                <c:pt idx="5">
                  <c:v>999.17738079714059</c:v>
                </c:pt>
                <c:pt idx="6">
                  <c:v>976.88566189057963</c:v>
                </c:pt>
                <c:pt idx="7">
                  <c:v>970.73677835863737</c:v>
                </c:pt>
                <c:pt idx="8">
                  <c:v>962.96184675742654</c:v>
                </c:pt>
                <c:pt idx="9">
                  <c:v>954.01121194518191</c:v>
                </c:pt>
                <c:pt idx="10">
                  <c:v>944.81114723163012</c:v>
                </c:pt>
                <c:pt idx="11">
                  <c:v>934.27211991963406</c:v>
                </c:pt>
                <c:pt idx="12">
                  <c:v>924.09006211837175</c:v>
                </c:pt>
                <c:pt idx="13">
                  <c:v>919.30056934065931</c:v>
                </c:pt>
                <c:pt idx="14">
                  <c:v>932.8641952088052</c:v>
                </c:pt>
                <c:pt idx="15">
                  <c:v>946.73376427006565</c:v>
                </c:pt>
                <c:pt idx="16">
                  <c:v>961.5014221390993</c:v>
                </c:pt>
                <c:pt idx="17">
                  <c:v>976.70600054764611</c:v>
                </c:pt>
                <c:pt idx="18">
                  <c:v>991.99746981817589</c:v>
                </c:pt>
                <c:pt idx="19">
                  <c:v>1007.0164132690161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D6-43FB-8C7B-B8066DF4D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8638384"/>
        <c:axId val="1788640464"/>
      </c:lineChart>
      <c:catAx>
        <c:axId val="178863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8640464"/>
        <c:crosses val="autoZero"/>
        <c:auto val="1"/>
        <c:lblAlgn val="ctr"/>
        <c:lblOffset val="100"/>
        <c:noMultiLvlLbl val="0"/>
      </c:catAx>
      <c:valAx>
        <c:axId val="178864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Overnight CapEx ($/kW, nominal)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863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24</xdr:row>
      <xdr:rowOff>19050</xdr:rowOff>
    </xdr:from>
    <xdr:to>
      <xdr:col>9</xdr:col>
      <xdr:colOff>156210</xdr:colOff>
      <xdr:row>24</xdr:row>
      <xdr:rowOff>156210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5CC46793-A0ED-4906-9729-2DE29F6D8D3C}"/>
            </a:ext>
          </a:extLst>
        </xdr:cNvPr>
        <xdr:cNvSpPr/>
      </xdr:nvSpPr>
      <xdr:spPr>
        <a:xfrm>
          <a:off x="3130550" y="4730750"/>
          <a:ext cx="137160" cy="137160"/>
        </a:xfrm>
        <a:prstGeom prst="ellipse">
          <a:avLst/>
        </a:prstGeom>
        <a:noFill/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solidFill>
                <a:srgbClr val="FFC000"/>
              </a:solidFill>
            </a:rPr>
            <a:t>?</a:t>
          </a:r>
        </a:p>
      </xdr:txBody>
    </xdr:sp>
    <xdr:clientData/>
  </xdr:twoCellAnchor>
  <xdr:twoCellAnchor>
    <xdr:from>
      <xdr:col>9</xdr:col>
      <xdr:colOff>19050</xdr:colOff>
      <xdr:row>9</xdr:row>
      <xdr:rowOff>19050</xdr:rowOff>
    </xdr:from>
    <xdr:to>
      <xdr:col>9</xdr:col>
      <xdr:colOff>156210</xdr:colOff>
      <xdr:row>9</xdr:row>
      <xdr:rowOff>156210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788276D2-187E-4EEC-BE0C-B05E48B699ED}"/>
            </a:ext>
          </a:extLst>
        </xdr:cNvPr>
        <xdr:cNvSpPr/>
      </xdr:nvSpPr>
      <xdr:spPr>
        <a:xfrm>
          <a:off x="3130550" y="1962150"/>
          <a:ext cx="137160" cy="137160"/>
        </a:xfrm>
        <a:prstGeom prst="ellipse">
          <a:avLst/>
        </a:prstGeom>
        <a:noFill/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solidFill>
                <a:srgbClr val="FFC000"/>
              </a:solidFill>
            </a:rPr>
            <a:t>?</a:t>
          </a:r>
        </a:p>
      </xdr:txBody>
    </xdr:sp>
    <xdr:clientData/>
  </xdr:twoCellAnchor>
  <xdr:twoCellAnchor>
    <xdr:from>
      <xdr:col>9</xdr:col>
      <xdr:colOff>19050</xdr:colOff>
      <xdr:row>9</xdr:row>
      <xdr:rowOff>19050</xdr:rowOff>
    </xdr:from>
    <xdr:to>
      <xdr:col>9</xdr:col>
      <xdr:colOff>156210</xdr:colOff>
      <xdr:row>9</xdr:row>
      <xdr:rowOff>156210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64E1311-3F19-4236-BBD9-69D67A997576}"/>
            </a:ext>
          </a:extLst>
        </xdr:cNvPr>
        <xdr:cNvSpPr/>
      </xdr:nvSpPr>
      <xdr:spPr>
        <a:xfrm>
          <a:off x="3130550" y="1962150"/>
          <a:ext cx="137160" cy="137160"/>
        </a:xfrm>
        <a:prstGeom prst="ellipse">
          <a:avLst/>
        </a:prstGeom>
        <a:noFill/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solidFill>
                <a:srgbClr val="FFC000"/>
              </a:solidFill>
            </a:rPr>
            <a:t>?</a:t>
          </a:r>
        </a:p>
      </xdr:txBody>
    </xdr:sp>
    <xdr:clientData/>
  </xdr:twoCellAnchor>
  <xdr:twoCellAnchor>
    <xdr:from>
      <xdr:col>9</xdr:col>
      <xdr:colOff>19050</xdr:colOff>
      <xdr:row>9</xdr:row>
      <xdr:rowOff>19050</xdr:rowOff>
    </xdr:from>
    <xdr:to>
      <xdr:col>9</xdr:col>
      <xdr:colOff>156210</xdr:colOff>
      <xdr:row>9</xdr:row>
      <xdr:rowOff>156210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D3E717D3-41C5-4171-8249-9DDDBCBF97C4}"/>
            </a:ext>
          </a:extLst>
        </xdr:cNvPr>
        <xdr:cNvSpPr/>
      </xdr:nvSpPr>
      <xdr:spPr>
        <a:xfrm>
          <a:off x="3130550" y="1962150"/>
          <a:ext cx="137160" cy="137160"/>
        </a:xfrm>
        <a:prstGeom prst="ellipse">
          <a:avLst/>
        </a:prstGeom>
        <a:noFill/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solidFill>
                <a:srgbClr val="FFC000"/>
              </a:solidFill>
            </a:rPr>
            <a:t>?</a:t>
          </a:r>
        </a:p>
      </xdr:txBody>
    </xdr:sp>
    <xdr:clientData/>
  </xdr:twoCellAnchor>
  <xdr:twoCellAnchor>
    <xdr:from>
      <xdr:col>9</xdr:col>
      <xdr:colOff>19050</xdr:colOff>
      <xdr:row>9</xdr:row>
      <xdr:rowOff>19050</xdr:rowOff>
    </xdr:from>
    <xdr:to>
      <xdr:col>9</xdr:col>
      <xdr:colOff>156210</xdr:colOff>
      <xdr:row>9</xdr:row>
      <xdr:rowOff>156210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B0D5D416-53BD-445D-BAD0-CDE063248509}"/>
            </a:ext>
          </a:extLst>
        </xdr:cNvPr>
        <xdr:cNvSpPr/>
      </xdr:nvSpPr>
      <xdr:spPr>
        <a:xfrm>
          <a:off x="3130550" y="1962150"/>
          <a:ext cx="137160" cy="137160"/>
        </a:xfrm>
        <a:prstGeom prst="ellipse">
          <a:avLst/>
        </a:prstGeom>
        <a:noFill/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solidFill>
                <a:srgbClr val="FFC000"/>
              </a:solidFill>
            </a:rPr>
            <a:t>?</a:t>
          </a:r>
        </a:p>
      </xdr:txBody>
    </xdr:sp>
    <xdr:clientData/>
  </xdr:twoCellAnchor>
  <xdr:twoCellAnchor>
    <xdr:from>
      <xdr:col>9</xdr:col>
      <xdr:colOff>19050</xdr:colOff>
      <xdr:row>9</xdr:row>
      <xdr:rowOff>19050</xdr:rowOff>
    </xdr:from>
    <xdr:to>
      <xdr:col>9</xdr:col>
      <xdr:colOff>156210</xdr:colOff>
      <xdr:row>9</xdr:row>
      <xdr:rowOff>156210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E2174B69-89B3-4FB0-9906-7F5FD6E16541}"/>
            </a:ext>
          </a:extLst>
        </xdr:cNvPr>
        <xdr:cNvSpPr/>
      </xdr:nvSpPr>
      <xdr:spPr>
        <a:xfrm>
          <a:off x="3130550" y="1962150"/>
          <a:ext cx="137160" cy="137160"/>
        </a:xfrm>
        <a:prstGeom prst="ellipse">
          <a:avLst/>
        </a:prstGeom>
        <a:noFill/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solidFill>
                <a:srgbClr val="FFC000"/>
              </a:solidFill>
            </a:rPr>
            <a:t>?</a:t>
          </a:r>
        </a:p>
      </xdr:txBody>
    </xdr:sp>
    <xdr:clientData/>
  </xdr:twoCellAnchor>
  <xdr:twoCellAnchor>
    <xdr:from>
      <xdr:col>9</xdr:col>
      <xdr:colOff>19050</xdr:colOff>
      <xdr:row>16</xdr:row>
      <xdr:rowOff>19050</xdr:rowOff>
    </xdr:from>
    <xdr:to>
      <xdr:col>9</xdr:col>
      <xdr:colOff>156210</xdr:colOff>
      <xdr:row>16</xdr:row>
      <xdr:rowOff>156210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D31BF27F-52C0-4F1B-AF56-30DFFA69A66A}"/>
            </a:ext>
          </a:extLst>
        </xdr:cNvPr>
        <xdr:cNvSpPr/>
      </xdr:nvSpPr>
      <xdr:spPr>
        <a:xfrm>
          <a:off x="3130550" y="3257550"/>
          <a:ext cx="137160" cy="137160"/>
        </a:xfrm>
        <a:prstGeom prst="ellipse">
          <a:avLst/>
        </a:prstGeom>
        <a:noFill/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solidFill>
                <a:srgbClr val="FFC000"/>
              </a:solidFill>
            </a:rPr>
            <a:t>?</a:t>
          </a:r>
        </a:p>
      </xdr:txBody>
    </xdr:sp>
    <xdr:clientData/>
  </xdr:twoCellAnchor>
  <xdr:twoCellAnchor>
    <xdr:from>
      <xdr:col>7</xdr:col>
      <xdr:colOff>9957</xdr:colOff>
      <xdr:row>46</xdr:row>
      <xdr:rowOff>140201</xdr:rowOff>
    </xdr:from>
    <xdr:to>
      <xdr:col>20</xdr:col>
      <xdr:colOff>13607</xdr:colOff>
      <xdr:row>76</xdr:row>
      <xdr:rowOff>149678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1C182B84-0BC5-4D81-816B-42EE5619033A}"/>
            </a:ext>
          </a:extLst>
        </xdr:cNvPr>
        <xdr:cNvGrpSpPr/>
      </xdr:nvGrpSpPr>
      <xdr:grpSpPr>
        <a:xfrm>
          <a:off x="1844401" y="8889090"/>
          <a:ext cx="11377206" cy="5512810"/>
          <a:chOff x="1056217" y="65521652"/>
          <a:chExt cx="4586939" cy="5425423"/>
        </a:xfrm>
      </xdr:grpSpPr>
      <xdr:graphicFrame macro="">
        <xdr:nvGraphicFramePr>
          <xdr:cNvPr id="10" name="Chart 9">
            <a:extLst>
              <a:ext uri="{FF2B5EF4-FFF2-40B4-BE49-F238E27FC236}">
                <a16:creationId xmlns:a16="http://schemas.microsoft.com/office/drawing/2014/main" id="{A429078E-0290-456F-93DF-283AB89F746B}"/>
              </a:ext>
            </a:extLst>
          </xdr:cNvPr>
          <xdr:cNvGraphicFramePr>
            <a:graphicFrameLocks/>
          </xdr:cNvGraphicFramePr>
        </xdr:nvGraphicFramePr>
        <xdr:xfrm>
          <a:off x="1056217" y="65570528"/>
          <a:ext cx="4586939" cy="53765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1" name="Group 10">
            <a:extLst>
              <a:ext uri="{FF2B5EF4-FFF2-40B4-BE49-F238E27FC236}">
                <a16:creationId xmlns:a16="http://schemas.microsoft.com/office/drawing/2014/main" id="{D775F41E-62E8-40B5-9DDF-1AECD1439500}"/>
              </a:ext>
            </a:extLst>
          </xdr:cNvPr>
          <xdr:cNvGrpSpPr/>
        </xdr:nvGrpSpPr>
        <xdr:grpSpPr>
          <a:xfrm>
            <a:off x="1984181" y="65521652"/>
            <a:ext cx="3517462" cy="560031"/>
            <a:chOff x="6798947" y="54271100"/>
            <a:chExt cx="3916514" cy="422635"/>
          </a:xfrm>
        </xdr:grpSpPr>
        <xdr:sp macro="" textlink="">
          <xdr:nvSpPr>
            <xdr:cNvPr id="12" name="Left Brace 11">
              <a:extLst>
                <a:ext uri="{FF2B5EF4-FFF2-40B4-BE49-F238E27FC236}">
                  <a16:creationId xmlns:a16="http://schemas.microsoft.com/office/drawing/2014/main" id="{70FB4870-AB8D-48B1-899E-56ECD980BF8F}"/>
                </a:ext>
              </a:extLst>
            </xdr:cNvPr>
            <xdr:cNvSpPr/>
          </xdr:nvSpPr>
          <xdr:spPr>
            <a:xfrm rot="5400000">
              <a:off x="8640381" y="52618655"/>
              <a:ext cx="233646" cy="3916514"/>
            </a:xfrm>
            <a:prstGeom prst="leftBrace">
              <a:avLst>
                <a:gd name="adj1" fmla="val 59552"/>
                <a:gd name="adj2" fmla="val 50000"/>
              </a:avLst>
            </a:prstGeom>
            <a:ln w="19050">
              <a:solidFill>
                <a:schemeClr val="bg1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C9512DE9-BF70-4311-8A4A-0FEAA2ABDE46}"/>
                </a:ext>
              </a:extLst>
            </xdr:cNvPr>
            <xdr:cNvSpPr txBox="1"/>
          </xdr:nvSpPr>
          <xdr:spPr>
            <a:xfrm>
              <a:off x="8517689" y="54271100"/>
              <a:ext cx="1944070" cy="303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1400" b="1"/>
                <a:t>Future Projections</a:t>
              </a:r>
            </a:p>
          </xdr:txBody>
        </xdr:sp>
      </xdr:grpSp>
    </xdr:grpSp>
    <xdr:clientData/>
  </xdr:twoCellAnchor>
  <xdr:twoCellAnchor>
    <xdr:from>
      <xdr:col>7</xdr:col>
      <xdr:colOff>108858</xdr:colOff>
      <xdr:row>79</xdr:row>
      <xdr:rowOff>41</xdr:rowOff>
    </xdr:from>
    <xdr:to>
      <xdr:col>20</xdr:col>
      <xdr:colOff>112508</xdr:colOff>
      <xdr:row>109</xdr:row>
      <xdr:rowOff>77487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19EDC89E-78E3-413D-BDBD-AEC1902B1E67}"/>
            </a:ext>
          </a:extLst>
        </xdr:cNvPr>
        <xdr:cNvGrpSpPr/>
      </xdr:nvGrpSpPr>
      <xdr:grpSpPr>
        <a:xfrm>
          <a:off x="1943302" y="14802597"/>
          <a:ext cx="11377206" cy="5580779"/>
          <a:chOff x="1056217" y="65457232"/>
          <a:chExt cx="4586939" cy="5489843"/>
        </a:xfrm>
      </xdr:grpSpPr>
      <xdr:graphicFrame macro="">
        <xdr:nvGraphicFramePr>
          <xdr:cNvPr id="15" name="Chart 14">
            <a:extLst>
              <a:ext uri="{FF2B5EF4-FFF2-40B4-BE49-F238E27FC236}">
                <a16:creationId xmlns:a16="http://schemas.microsoft.com/office/drawing/2014/main" id="{9AF5EFFC-C8F5-47EB-A83E-E924D7F0496C}"/>
              </a:ext>
            </a:extLst>
          </xdr:cNvPr>
          <xdr:cNvGraphicFramePr>
            <a:graphicFrameLocks/>
          </xdr:cNvGraphicFramePr>
        </xdr:nvGraphicFramePr>
        <xdr:xfrm>
          <a:off x="1056217" y="65570528"/>
          <a:ext cx="4586939" cy="53765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16" name="Group 15">
            <a:extLst>
              <a:ext uri="{FF2B5EF4-FFF2-40B4-BE49-F238E27FC236}">
                <a16:creationId xmlns:a16="http://schemas.microsoft.com/office/drawing/2014/main" id="{02AFBC22-208B-44F9-9D1A-0F63D62721FF}"/>
              </a:ext>
            </a:extLst>
          </xdr:cNvPr>
          <xdr:cNvGrpSpPr/>
        </xdr:nvGrpSpPr>
        <xdr:grpSpPr>
          <a:xfrm>
            <a:off x="2099118" y="65457232"/>
            <a:ext cx="3402525" cy="554550"/>
            <a:chOff x="6926923" y="54222396"/>
            <a:chExt cx="3788537" cy="418498"/>
          </a:xfrm>
        </xdr:grpSpPr>
        <xdr:sp macro="" textlink="">
          <xdr:nvSpPr>
            <xdr:cNvPr id="17" name="Left Brace 16">
              <a:extLst>
                <a:ext uri="{FF2B5EF4-FFF2-40B4-BE49-F238E27FC236}">
                  <a16:creationId xmlns:a16="http://schemas.microsoft.com/office/drawing/2014/main" id="{300B1252-CC9E-498B-A20C-B4C58DE44183}"/>
                </a:ext>
              </a:extLst>
            </xdr:cNvPr>
            <xdr:cNvSpPr/>
          </xdr:nvSpPr>
          <xdr:spPr>
            <a:xfrm rot="5400000">
              <a:off x="8730790" y="52656223"/>
              <a:ext cx="180804" cy="3788537"/>
            </a:xfrm>
            <a:prstGeom prst="leftBrace">
              <a:avLst>
                <a:gd name="adj1" fmla="val 59552"/>
                <a:gd name="adj2" fmla="val 50000"/>
              </a:avLst>
            </a:prstGeom>
            <a:ln w="19050">
              <a:solidFill>
                <a:schemeClr val="bg1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5D76B3C6-C7C3-4328-8508-416A6AFFA937}"/>
                </a:ext>
              </a:extLst>
            </xdr:cNvPr>
            <xdr:cNvSpPr txBox="1"/>
          </xdr:nvSpPr>
          <xdr:spPr>
            <a:xfrm>
              <a:off x="8517689" y="54222396"/>
              <a:ext cx="1944070" cy="303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1400" b="1"/>
                <a:t>Future Projections</a:t>
              </a:r>
            </a:p>
          </xdr:txBody>
        </xdr:sp>
      </xdr:grpSp>
    </xdr:grpSp>
    <xdr:clientData/>
  </xdr:twoCellAnchor>
  <xdr:twoCellAnchor>
    <xdr:from>
      <xdr:col>7</xdr:col>
      <xdr:colOff>54428</xdr:colOff>
      <xdr:row>112</xdr:row>
      <xdr:rowOff>40</xdr:rowOff>
    </xdr:from>
    <xdr:to>
      <xdr:col>20</xdr:col>
      <xdr:colOff>58078</xdr:colOff>
      <xdr:row>142</xdr:row>
      <xdr:rowOff>77495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875ECF18-308C-4BE8-8645-63D3D3503508}"/>
            </a:ext>
          </a:extLst>
        </xdr:cNvPr>
        <xdr:cNvGrpSpPr/>
      </xdr:nvGrpSpPr>
      <xdr:grpSpPr>
        <a:xfrm>
          <a:off x="1888872" y="20856262"/>
          <a:ext cx="11377206" cy="5580789"/>
          <a:chOff x="1056217" y="65457224"/>
          <a:chExt cx="4586939" cy="5489851"/>
        </a:xfrm>
      </xdr:grpSpPr>
      <xdr:graphicFrame macro="">
        <xdr:nvGraphicFramePr>
          <xdr:cNvPr id="20" name="Chart 19">
            <a:extLst>
              <a:ext uri="{FF2B5EF4-FFF2-40B4-BE49-F238E27FC236}">
                <a16:creationId xmlns:a16="http://schemas.microsoft.com/office/drawing/2014/main" id="{0E72DFA4-C612-41A0-B21D-E77BCF786469}"/>
              </a:ext>
            </a:extLst>
          </xdr:cNvPr>
          <xdr:cNvGraphicFramePr>
            <a:graphicFrameLocks/>
          </xdr:cNvGraphicFramePr>
        </xdr:nvGraphicFramePr>
        <xdr:xfrm>
          <a:off x="1056217" y="65570528"/>
          <a:ext cx="4586939" cy="53765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pSp>
        <xdr:nvGrpSpPr>
          <xdr:cNvPr id="21" name="Group 20">
            <a:extLst>
              <a:ext uri="{FF2B5EF4-FFF2-40B4-BE49-F238E27FC236}">
                <a16:creationId xmlns:a16="http://schemas.microsoft.com/office/drawing/2014/main" id="{3B624763-384E-4FC7-9D7F-715E72665362}"/>
              </a:ext>
            </a:extLst>
          </xdr:cNvPr>
          <xdr:cNvGrpSpPr/>
        </xdr:nvGrpSpPr>
        <xdr:grpSpPr>
          <a:xfrm>
            <a:off x="1989439" y="65457224"/>
            <a:ext cx="3512205" cy="624568"/>
            <a:chOff x="6804801" y="54222396"/>
            <a:chExt cx="3910660" cy="471338"/>
          </a:xfrm>
        </xdr:grpSpPr>
        <xdr:sp macro="" textlink="">
          <xdr:nvSpPr>
            <xdr:cNvPr id="22" name="Left Brace 21">
              <a:extLst>
                <a:ext uri="{FF2B5EF4-FFF2-40B4-BE49-F238E27FC236}">
                  <a16:creationId xmlns:a16="http://schemas.microsoft.com/office/drawing/2014/main" id="{45B31D63-4BCC-46B8-8617-003227E46BF4}"/>
                </a:ext>
              </a:extLst>
            </xdr:cNvPr>
            <xdr:cNvSpPr/>
          </xdr:nvSpPr>
          <xdr:spPr>
            <a:xfrm rot="5400000">
              <a:off x="8643308" y="52621581"/>
              <a:ext cx="233646" cy="3910660"/>
            </a:xfrm>
            <a:prstGeom prst="leftBrace">
              <a:avLst>
                <a:gd name="adj1" fmla="val 59552"/>
                <a:gd name="adj2" fmla="val 50000"/>
              </a:avLst>
            </a:prstGeom>
            <a:ln w="19050">
              <a:solidFill>
                <a:schemeClr val="bg1">
                  <a:lumMod val="7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A415C057-AEAC-4A3C-B754-FEC4DB2AE869}"/>
                </a:ext>
              </a:extLst>
            </xdr:cNvPr>
            <xdr:cNvSpPr txBox="1"/>
          </xdr:nvSpPr>
          <xdr:spPr>
            <a:xfrm>
              <a:off x="8517689" y="54222396"/>
              <a:ext cx="1944070" cy="303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1400" b="1"/>
                <a:t>Future Projections</a:t>
              </a:r>
            </a:p>
          </xdr:txBody>
        </xdr:sp>
      </xdr:grpSp>
    </xdr:grpSp>
    <xdr:clientData/>
  </xdr:twoCellAnchor>
  <xdr:twoCellAnchor>
    <xdr:from>
      <xdr:col>9</xdr:col>
      <xdr:colOff>733425</xdr:colOff>
      <xdr:row>49</xdr:row>
      <xdr:rowOff>114300</xdr:rowOff>
    </xdr:from>
    <xdr:to>
      <xdr:col>9</xdr:col>
      <xdr:colOff>981075</xdr:colOff>
      <xdr:row>73</xdr:row>
      <xdr:rowOff>152400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BAB8516D-CA82-4309-8733-7B611D09C078}"/>
            </a:ext>
          </a:extLst>
        </xdr:cNvPr>
        <xdr:cNvSpPr/>
      </xdr:nvSpPr>
      <xdr:spPr>
        <a:xfrm>
          <a:off x="3844925" y="9436100"/>
          <a:ext cx="247650" cy="4457700"/>
        </a:xfrm>
        <a:prstGeom prst="rect">
          <a:avLst/>
        </a:prstGeom>
        <a:noFill/>
        <a:ln w="190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219507</xdr:colOff>
      <xdr:row>47</xdr:row>
      <xdr:rowOff>35426</xdr:rowOff>
    </xdr:from>
    <xdr:to>
      <xdr:col>9</xdr:col>
      <xdr:colOff>1685925</xdr:colOff>
      <xdr:row>49</xdr:row>
      <xdr:rowOff>79011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034D482-0CA8-44F0-8504-89E341ED7C15}"/>
            </a:ext>
          </a:extLst>
        </xdr:cNvPr>
        <xdr:cNvSpPr txBox="1"/>
      </xdr:nvSpPr>
      <xdr:spPr>
        <a:xfrm>
          <a:off x="3331007" y="8988926"/>
          <a:ext cx="1466418" cy="411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 b="1"/>
            <a:t>Base Year (2018)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0.17077</cdr:x>
      <cdr:y>0.05448</cdr:y>
    </cdr:from>
    <cdr:to>
      <cdr:x>0.19316</cdr:x>
      <cdr:y>0.89567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D404E616-863A-4A00-96A1-678C04F1ABB9}"/>
            </a:ext>
          </a:extLst>
        </cdr:cNvPr>
        <cdr:cNvSpPr/>
      </cdr:nvSpPr>
      <cdr:spPr>
        <a:xfrm xmlns:a="http://schemas.openxmlformats.org/drawingml/2006/main">
          <a:off x="1889125" y="309043"/>
          <a:ext cx="247650" cy="47720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0.12944</cdr:x>
      <cdr:y>0</cdr:y>
    </cdr:from>
    <cdr:to>
      <cdr:x>0.262</cdr:x>
      <cdr:y>0.07484</cdr:y>
    </cdr:to>
    <cdr:sp macro="" textlink="">
      <cdr:nvSpPr>
        <cdr:cNvPr id="3" name="TextBox 24">
          <a:extLst xmlns:a="http://schemas.openxmlformats.org/drawingml/2006/main">
            <a:ext uri="{FF2B5EF4-FFF2-40B4-BE49-F238E27FC236}">
              <a16:creationId xmlns:a16="http://schemas.microsoft.com/office/drawing/2014/main" id="{63C0FEA6-EF3B-4C73-94AA-8E47DF202DEB}"/>
            </a:ext>
          </a:extLst>
        </cdr:cNvPr>
        <cdr:cNvSpPr txBox="1"/>
      </cdr:nvSpPr>
      <cdr:spPr>
        <a:xfrm xmlns:a="http://schemas.openxmlformats.org/drawingml/2006/main">
          <a:off x="1431925" y="0"/>
          <a:ext cx="1466418" cy="42458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Base Year (2018)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0.17594</cdr:x>
      <cdr:y>0.07295</cdr:y>
    </cdr:from>
    <cdr:to>
      <cdr:x>0.19833</cdr:x>
      <cdr:y>0.9022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D404E616-863A-4A00-96A1-678C04F1ABB9}"/>
            </a:ext>
          </a:extLst>
        </cdr:cNvPr>
        <cdr:cNvSpPr/>
      </cdr:nvSpPr>
      <cdr:spPr>
        <a:xfrm xmlns:a="http://schemas.openxmlformats.org/drawingml/2006/main">
          <a:off x="1946275" y="413811"/>
          <a:ext cx="247650" cy="4704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0.11997</cdr:x>
      <cdr:y>0</cdr:y>
    </cdr:from>
    <cdr:to>
      <cdr:x>0.25253</cdr:x>
      <cdr:y>0.07484</cdr:y>
    </cdr:to>
    <cdr:sp macro="" textlink="">
      <cdr:nvSpPr>
        <cdr:cNvPr id="3" name="TextBox 24">
          <a:extLst xmlns:a="http://schemas.openxmlformats.org/drawingml/2006/main">
            <a:ext uri="{FF2B5EF4-FFF2-40B4-BE49-F238E27FC236}">
              <a16:creationId xmlns:a16="http://schemas.microsoft.com/office/drawing/2014/main" id="{63C0FEA6-EF3B-4C73-94AA-8E47DF202DEB}"/>
            </a:ext>
          </a:extLst>
        </cdr:cNvPr>
        <cdr:cNvSpPr txBox="1"/>
      </cdr:nvSpPr>
      <cdr:spPr>
        <a:xfrm xmlns:a="http://schemas.openxmlformats.org/drawingml/2006/main">
          <a:off x="1327150" y="0"/>
          <a:ext cx="1466418" cy="42458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Base Year (2018)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587375</xdr:colOff>
      <xdr:row>15</xdr:row>
      <xdr:rowOff>180975</xdr:rowOff>
    </xdr:from>
    <xdr:to>
      <xdr:col>12</xdr:col>
      <xdr:colOff>282575</xdr:colOff>
      <xdr:row>30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F21033-07F3-46D5-9A19-AF04235B56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536575</xdr:colOff>
      <xdr:row>2</xdr:row>
      <xdr:rowOff>41275</xdr:rowOff>
    </xdr:from>
    <xdr:to>
      <xdr:col>20</xdr:col>
      <xdr:colOff>231775</xdr:colOff>
      <xdr:row>17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21F7A3-074F-46CC-8DE1-2F9BDE0F3D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_J%20Landrum\FCR%20Spreadsheet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all/AppData/Local/Box/Box%20Edit/Documents/Yu78skguEEqlej2h0AdBhw==/Common%20Financial%20Parameters%202017-10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knight/Desktop/Box%20Sync/Restricted%20-%2017-036%20MADEP%20MACES/Analysis/Main%20Analysis%20(4th%20Round%20with%20MSW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wilson/AppData/Local/Microsoft/Windows/INetCache/Content.Outlook/K8JT62BG/19-0368%20Sierra%20Club-097_Attachment%20D%20NREL%20ATB%20%20Battery%20-%20AEC%20additions%20PUBLI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Req"/>
      <sheetName val="Unit Assumptions"/>
      <sheetName val="Price Dispatch"/>
    </sheetNames>
    <sheetDataSet>
      <sheetData sheetId="0"/>
      <sheetData sheetId="1">
        <row r="3">
          <cell r="D3" t="str">
            <v>Conventional CT (GE Frame 7FA)</v>
          </cell>
          <cell r="E3">
            <v>129</v>
          </cell>
          <cell r="F3">
            <v>153</v>
          </cell>
          <cell r="I3">
            <v>15.19</v>
          </cell>
          <cell r="J3">
            <v>10485</v>
          </cell>
        </row>
        <row r="5">
          <cell r="E5">
            <v>2007</v>
          </cell>
        </row>
        <row r="10">
          <cell r="B10">
            <v>1</v>
          </cell>
          <cell r="C10" t="str">
            <v>W</v>
          </cell>
        </row>
        <row r="11">
          <cell r="B11">
            <v>2</v>
          </cell>
          <cell r="C11" t="str">
            <v>W</v>
          </cell>
        </row>
        <row r="12">
          <cell r="B12">
            <v>3</v>
          </cell>
          <cell r="C12" t="str">
            <v>W</v>
          </cell>
        </row>
        <row r="13">
          <cell r="B13">
            <v>4</v>
          </cell>
          <cell r="C13" t="str">
            <v>W</v>
          </cell>
        </row>
        <row r="14">
          <cell r="B14">
            <v>5</v>
          </cell>
          <cell r="C14" t="str">
            <v>S</v>
          </cell>
        </row>
        <row r="15">
          <cell r="B15">
            <v>6</v>
          </cell>
          <cell r="C15" t="str">
            <v>S</v>
          </cell>
        </row>
        <row r="16">
          <cell r="B16">
            <v>7</v>
          </cell>
          <cell r="C16" t="str">
            <v>S</v>
          </cell>
        </row>
        <row r="17">
          <cell r="B17">
            <v>8</v>
          </cell>
          <cell r="C17" t="str">
            <v>S</v>
          </cell>
        </row>
        <row r="18">
          <cell r="B18">
            <v>9</v>
          </cell>
          <cell r="C18" t="str">
            <v>S</v>
          </cell>
        </row>
        <row r="19">
          <cell r="B19">
            <v>10</v>
          </cell>
          <cell r="C19" t="str">
            <v>W</v>
          </cell>
        </row>
        <row r="20">
          <cell r="B20">
            <v>11</v>
          </cell>
          <cell r="C20" t="str">
            <v>W</v>
          </cell>
        </row>
        <row r="21">
          <cell r="B21">
            <v>12</v>
          </cell>
          <cell r="C21" t="str">
            <v>W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EO to AESC"/>
      <sheetName val="Summary"/>
      <sheetName val="Deflator"/>
      <sheetName val="Composite Rate"/>
      <sheetName val="T-Bills - 30 year"/>
      <sheetName val="BEA IPD 2017"/>
      <sheetName val="AEO 2017 Ref"/>
      <sheetName val="OECD Rates"/>
    </sheetNames>
    <sheetDataSet>
      <sheetData sheetId="0"/>
      <sheetData sheetId="1"/>
      <sheetData sheetId="2">
        <row r="10">
          <cell r="E10">
            <v>0.02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Tables"/>
      <sheetName val="AppendixTables"/>
      <sheetName val="EnPRT_Cap"/>
      <sheetName val="EnPRT_Gen"/>
      <sheetName val="EnPRT_Imp"/>
      <sheetName val="EnPRT_Storage"/>
      <sheetName val="EnPRT_CO2"/>
      <sheetName val="EnPRT_Prices"/>
      <sheetName val="EnPRT_Allowances"/>
      <sheetName val="SEA_RECPrices"/>
      <sheetName val="NG_Forecast"/>
      <sheetName val="NYMEX"/>
      <sheetName val="BillData"/>
      <sheetName val="RGGI_Prices"/>
      <sheetName val="ProscriptiveUnits"/>
      <sheetName val="Sales_to_EnCompass"/>
      <sheetName val="LowSales_to_SEA"/>
      <sheetName val="HighSales_to_SEA"/>
      <sheetName val="SalesComparison"/>
      <sheetName val="DGPV"/>
      <sheetName val="EV_Load"/>
      <sheetName val="Sales_and_EE"/>
      <sheetName val="CT"/>
      <sheetName val="MA"/>
      <sheetName val="ME"/>
      <sheetName val="NH"/>
      <sheetName val="RI"/>
      <sheetName val="VT"/>
      <sheetName val="Ref_En"/>
      <sheetName val="Ref_Em"/>
      <sheetName val="CELT_Data"/>
      <sheetName val="MADEP_Caps"/>
      <sheetName val="RGGI_Info"/>
      <sheetName val="RGGI_Prices_Hist"/>
      <sheetName val="EIA861"/>
      <sheetName val="F861_2015_Sales"/>
      <sheetName val="F861_2014_Sales"/>
      <sheetName val="F861_2013_Sales"/>
      <sheetName val="F861_2012_Sales"/>
      <sheetName val="F861_2011_Sales"/>
      <sheetName val="F861_2010_Sales"/>
      <sheetName val="EIA_Gen"/>
      <sheetName val="EIA_Cap"/>
      <sheetName val="AEO2017_NewEngland_Sales"/>
      <sheetName val="AEO2017_NewEngland_TransSales"/>
      <sheetName val="AEO2017_US_TransVMT"/>
      <sheetName val="AEO2017_US_TransStock"/>
      <sheetName val="AEO2017_ResidentialStock"/>
      <sheetName val="MassSaveData"/>
      <sheetName val="AEO_HH_Prices"/>
      <sheetName val="Actual_NG_Prices"/>
      <sheetName val="GDPCTPI"/>
    </sheetNames>
    <sheetDataSet>
      <sheetData sheetId="0">
        <row r="59">
          <cell r="BH59">
            <v>1.1023099999999999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Battery NREL 2020"/>
      <sheetName val="Battery NREL 2020 ITC"/>
      <sheetName val="Battery Corr Base"/>
      <sheetName val="Battery Corr Base ITC"/>
      <sheetName val="NREL 2020 Costs_real "/>
      <sheetName val="NREL 2020 Costs_real ITC"/>
      <sheetName val="NREL Costs_real Corr Base"/>
      <sheetName val="NREL Costs_real Corr Base ITC"/>
      <sheetName val="NREL ATB Storage2020"/>
      <sheetName val="Xcel Battery"/>
      <sheetName val="Battery by Year High"/>
      <sheetName val="Battery by Year Low"/>
      <sheetName val="NREL Costs_real"/>
      <sheetName val="NREL ATB Stor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F4">
            <v>6.4732086601861999E-2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842F4-0975-497E-8AE6-798BD3E0B892}">
  <sheetPr codeName="Sheet3"/>
  <dimension ref="C4:AJ81"/>
  <sheetViews>
    <sheetView tabSelected="1" topLeftCell="O1" zoomScale="40" zoomScaleNormal="40" workbookViewId="0">
      <selection activeCell="V8" sqref="V8"/>
    </sheetView>
  </sheetViews>
  <sheetFormatPr defaultColWidth="9.21875" defaultRowHeight="13.2" x14ac:dyDescent="0.25"/>
  <cols>
    <col min="1" max="2" width="9.21875" style="16"/>
    <col min="3" max="3" width="11.21875" style="16" bestFit="1" customWidth="1"/>
    <col min="4" max="4" width="16.21875" style="16" customWidth="1"/>
    <col min="5" max="5" width="9.21875" style="16"/>
    <col min="6" max="8" width="13.44140625" style="16" bestFit="1" customWidth="1"/>
    <col min="9" max="30" width="20.77734375" style="16" customWidth="1"/>
    <col min="31" max="33" width="13" style="16" bestFit="1" customWidth="1"/>
    <col min="34" max="35" width="12.77734375" style="16" bestFit="1" customWidth="1"/>
    <col min="36" max="36" width="13" style="16" bestFit="1" customWidth="1"/>
    <col min="37" max="16384" width="9.21875" style="16"/>
  </cols>
  <sheetData>
    <row r="4" spans="3:9" ht="14.4" x14ac:dyDescent="0.3">
      <c r="C4" s="16" t="s">
        <v>21</v>
      </c>
      <c r="G4" s="17"/>
      <c r="H4" s="17"/>
    </row>
    <row r="5" spans="3:9" ht="14.4" x14ac:dyDescent="0.3">
      <c r="C5" s="18">
        <v>7.2700000000000001E-2</v>
      </c>
      <c r="D5" s="16" t="s">
        <v>48</v>
      </c>
      <c r="F5" s="34"/>
      <c r="G5" s="17"/>
      <c r="H5" s="17"/>
    </row>
    <row r="6" spans="3:9" ht="14.4" x14ac:dyDescent="0.3">
      <c r="C6" s="18">
        <f>(1+C5)/(1+C13)-1</f>
        <v>4.9608610567514644E-2</v>
      </c>
      <c r="D6" s="16" t="s">
        <v>49</v>
      </c>
      <c r="G6" s="17"/>
      <c r="H6" s="17"/>
    </row>
    <row r="7" spans="3:9" ht="14.4" x14ac:dyDescent="0.3">
      <c r="C7" s="19">
        <v>4</v>
      </c>
      <c r="D7" s="16" t="s">
        <v>22</v>
      </c>
      <c r="G7" s="17"/>
      <c r="H7" s="17"/>
    </row>
    <row r="8" spans="3:9" x14ac:dyDescent="0.25">
      <c r="C8" s="19">
        <v>4</v>
      </c>
      <c r="D8" s="16" t="s">
        <v>23</v>
      </c>
    </row>
    <row r="9" spans="3:9" x14ac:dyDescent="0.25">
      <c r="C9" s="19">
        <v>15</v>
      </c>
      <c r="D9" s="16" t="s">
        <v>50</v>
      </c>
    </row>
    <row r="10" spans="3:9" x14ac:dyDescent="0.25">
      <c r="C10" s="19">
        <v>365</v>
      </c>
      <c r="D10" s="16" t="s">
        <v>24</v>
      </c>
    </row>
    <row r="11" spans="3:9" x14ac:dyDescent="0.25">
      <c r="C11" s="20">
        <f>(C6*((1+C6)^C9))/((1+C6)^C9-1)</f>
        <v>9.6087578616686264E-2</v>
      </c>
      <c r="D11" s="16" t="s">
        <v>25</v>
      </c>
    </row>
    <row r="12" spans="3:9" x14ac:dyDescent="0.25">
      <c r="C12" s="20">
        <f>'NREL ATB Storage'!$M$33</f>
        <v>0.85</v>
      </c>
      <c r="D12" s="16" t="s">
        <v>26</v>
      </c>
    </row>
    <row r="13" spans="3:9" x14ac:dyDescent="0.25">
      <c r="C13" s="20">
        <v>2.1999999999999999E-2</v>
      </c>
      <c r="D13" s="16" t="s">
        <v>47</v>
      </c>
      <c r="I13" s="21"/>
    </row>
    <row r="14" spans="3:9" x14ac:dyDescent="0.25">
      <c r="C14" s="20"/>
      <c r="I14" s="21"/>
    </row>
    <row r="15" spans="3:9" x14ac:dyDescent="0.25">
      <c r="C15" s="20"/>
      <c r="I15" s="21"/>
    </row>
    <row r="16" spans="3:9" x14ac:dyDescent="0.25">
      <c r="I16" s="21"/>
    </row>
    <row r="17" spans="3:36" x14ac:dyDescent="0.25">
      <c r="I17" s="21"/>
    </row>
    <row r="18" spans="3:36" x14ac:dyDescent="0.25">
      <c r="C18" s="22" t="s">
        <v>27</v>
      </c>
      <c r="F18" s="16">
        <v>2020</v>
      </c>
      <c r="G18" s="16">
        <v>2021</v>
      </c>
      <c r="H18" s="16">
        <v>2022</v>
      </c>
      <c r="I18" s="16">
        <v>2023</v>
      </c>
      <c r="J18" s="16">
        <v>2024</v>
      </c>
      <c r="K18" s="16">
        <v>2025</v>
      </c>
      <c r="L18" s="16">
        <v>2026</v>
      </c>
      <c r="M18" s="16">
        <v>2027</v>
      </c>
      <c r="N18" s="16">
        <v>2028</v>
      </c>
      <c r="O18" s="16">
        <v>2029</v>
      </c>
      <c r="P18" s="16">
        <v>2030</v>
      </c>
      <c r="Q18" s="16">
        <v>2031</v>
      </c>
      <c r="R18" s="16">
        <v>2032</v>
      </c>
      <c r="S18" s="16">
        <v>2033</v>
      </c>
      <c r="T18" s="16">
        <v>2034</v>
      </c>
      <c r="U18" s="16">
        <v>2035</v>
      </c>
      <c r="V18" s="16">
        <v>2036</v>
      </c>
      <c r="W18" s="16">
        <v>2037</v>
      </c>
      <c r="X18" s="16">
        <v>2038</v>
      </c>
      <c r="Y18" s="16">
        <v>2039</v>
      </c>
      <c r="Z18" s="16">
        <v>2040</v>
      </c>
      <c r="AA18" s="16">
        <v>2041</v>
      </c>
      <c r="AB18" s="16">
        <v>2042</v>
      </c>
      <c r="AC18" s="16">
        <v>2043</v>
      </c>
      <c r="AD18" s="16">
        <v>2044</v>
      </c>
      <c r="AE18" s="16">
        <v>2045</v>
      </c>
      <c r="AF18" s="16">
        <v>2046</v>
      </c>
      <c r="AG18" s="16">
        <v>2047</v>
      </c>
      <c r="AH18" s="16">
        <v>2048</v>
      </c>
      <c r="AI18" s="16">
        <v>2049</v>
      </c>
      <c r="AJ18" s="16">
        <v>2050</v>
      </c>
    </row>
    <row r="19" spans="3:36" x14ac:dyDescent="0.25">
      <c r="D19" s="16" t="s">
        <v>28</v>
      </c>
      <c r="E19" s="23" t="s">
        <v>29</v>
      </c>
      <c r="F19" s="24">
        <f>'NREL ATB Storage'!AZ11</f>
        <v>298.64698605186197</v>
      </c>
      <c r="G19" s="24">
        <f>'NREL ATB Storage'!BA11</f>
        <v>280.14703669424989</v>
      </c>
      <c r="H19" s="24">
        <f>'NREL ATB Storage'!BB11</f>
        <v>261.64708733663832</v>
      </c>
      <c r="I19" s="24">
        <f>'NREL ATB Storage'!BC11</f>
        <v>243.14713797902678</v>
      </c>
      <c r="J19" s="24">
        <f>'NREL ATB Storage'!BD11</f>
        <v>224.64718862141524</v>
      </c>
      <c r="K19" s="24">
        <f>'NREL ATB Storage'!BE11</f>
        <v>206.1472392638037</v>
      </c>
      <c r="L19" s="24">
        <f>'NREL ATB Storage'!BF11</f>
        <v>198.47515412524004</v>
      </c>
      <c r="M19" s="24">
        <f>'NREL ATB Storage'!BG11</f>
        <v>190.80306898667635</v>
      </c>
      <c r="N19" s="24">
        <f>'NREL ATB Storage'!BH11</f>
        <v>183.13098384811269</v>
      </c>
      <c r="O19" s="24">
        <f>'NREL ATB Storage'!BI11</f>
        <v>175.45889870954906</v>
      </c>
      <c r="P19" s="24">
        <f>'NREL ATB Storage'!BJ11</f>
        <v>167.78681357098529</v>
      </c>
      <c r="Q19" s="24">
        <f>'NREL ATB Storage'!BK11</f>
        <v>165.68947840134803</v>
      </c>
      <c r="R19" s="24">
        <f>'NREL ATB Storage'!BL11</f>
        <v>163.59214323171071</v>
      </c>
      <c r="S19" s="24">
        <f>'NREL ATB Storage'!BM11</f>
        <v>161.49480806207339</v>
      </c>
      <c r="T19" s="24">
        <f>'NREL ATB Storage'!BN11</f>
        <v>159.39747289243607</v>
      </c>
      <c r="U19" s="24">
        <f>'NREL ATB Storage'!BO11</f>
        <v>157.30013772279875</v>
      </c>
      <c r="V19" s="24">
        <f>'NREL ATB Storage'!BP11</f>
        <v>155.20280255316146</v>
      </c>
      <c r="W19" s="24">
        <f>'NREL ATB Storage'!BQ11</f>
        <v>153.10546738352414</v>
      </c>
      <c r="X19" s="24">
        <f>'NREL ATB Storage'!BR11</f>
        <v>151.00813221388682</v>
      </c>
      <c r="Y19" s="24">
        <f>'NREL ATB Storage'!BS11</f>
        <v>148.91079704424951</v>
      </c>
      <c r="Z19" s="24">
        <f>'NREL ATB Storage'!BT11</f>
        <v>146.81346187461224</v>
      </c>
      <c r="AA19" s="24">
        <f>'NREL ATB Storage'!BU11</f>
        <v>144.71612670497493</v>
      </c>
      <c r="AB19" s="24">
        <f>'NREL ATB Storage'!BV11</f>
        <v>142.61879153533761</v>
      </c>
      <c r="AC19" s="24">
        <f>'NREL ATB Storage'!BW11</f>
        <v>140.52145636570029</v>
      </c>
      <c r="AD19" s="24">
        <f>'NREL ATB Storage'!BX11</f>
        <v>138.424121196063</v>
      </c>
      <c r="AE19" s="24">
        <f>'NREL ATB Storage'!BY11</f>
        <v>136.32678602642568</v>
      </c>
      <c r="AF19" s="24">
        <f>'NREL ATB Storage'!BZ11</f>
        <v>134.22945085678836</v>
      </c>
      <c r="AG19" s="24">
        <f>'NREL ATB Storage'!CA11</f>
        <v>132.13211568715104</v>
      </c>
      <c r="AH19" s="24">
        <f>'NREL ATB Storage'!CB11</f>
        <v>130.03478051751372</v>
      </c>
      <c r="AI19" s="24">
        <f>'NREL ATB Storage'!CC11</f>
        <v>127.93744534787645</v>
      </c>
      <c r="AJ19" s="24">
        <f>'NREL ATB Storage'!CD11</f>
        <v>125.840110178239</v>
      </c>
    </row>
    <row r="20" spans="3:36" x14ac:dyDescent="0.25">
      <c r="D20" s="16" t="s">
        <v>30</v>
      </c>
      <c r="E20" s="16" t="s">
        <v>31</v>
      </c>
      <c r="F20" s="24">
        <f>'NREL ATB Storage'!AZ21</f>
        <v>260.02071971707818</v>
      </c>
      <c r="G20" s="24">
        <f>'NREL ATB Storage'!BA21</f>
        <v>243.91350828899991</v>
      </c>
      <c r="H20" s="24">
        <f>'NREL ATB Storage'!BB21</f>
        <v>227.80629686092172</v>
      </c>
      <c r="I20" s="24">
        <f>'NREL ATB Storage'!BC21</f>
        <v>211.6990854328435</v>
      </c>
      <c r="J20" s="24">
        <f>'NREL ATB Storage'!BD21</f>
        <v>195.59187400476532</v>
      </c>
      <c r="K20" s="24">
        <f>'NREL ATB Storage'!BE21</f>
        <v>179.48466257668713</v>
      </c>
      <c r="L20" s="24">
        <f>'NREL ATB Storage'!BF21</f>
        <v>172.80486605225946</v>
      </c>
      <c r="M20" s="24">
        <f>'NREL ATB Storage'!BG21</f>
        <v>166.12506952783178</v>
      </c>
      <c r="N20" s="24">
        <f>'NREL ATB Storage'!BH21</f>
        <v>159.44527300340414</v>
      </c>
      <c r="O20" s="24">
        <f>'NREL ATB Storage'!BI21</f>
        <v>152.76547647897647</v>
      </c>
      <c r="P20" s="24">
        <f>'NREL ATB Storage'!BJ21</f>
        <v>146.08567995454871</v>
      </c>
      <c r="Q20" s="24">
        <f>'NREL ATB Storage'!BK21</f>
        <v>144.25960895511687</v>
      </c>
      <c r="R20" s="24">
        <f>'NREL ATB Storage'!BL21</f>
        <v>142.43353795568501</v>
      </c>
      <c r="S20" s="24">
        <f>'NREL ATB Storage'!BM21</f>
        <v>140.60746695625318</v>
      </c>
      <c r="T20" s="24">
        <f>'NREL ATB Storage'!BN21</f>
        <v>138.78139595682131</v>
      </c>
      <c r="U20" s="24">
        <f>'NREL ATB Storage'!BO21</f>
        <v>136.95532495738945</v>
      </c>
      <c r="V20" s="24">
        <f>'NREL ATB Storage'!BP21</f>
        <v>135.12925395795762</v>
      </c>
      <c r="W20" s="24">
        <f>'NREL ATB Storage'!BQ21</f>
        <v>133.30318295852575</v>
      </c>
      <c r="X20" s="24">
        <f>'NREL ATB Storage'!BR21</f>
        <v>131.47711195909392</v>
      </c>
      <c r="Y20" s="24">
        <f>'NREL ATB Storage'!BS21</f>
        <v>129.65104095966205</v>
      </c>
      <c r="Z20" s="24">
        <f>'NREL ATB Storage'!BT21</f>
        <v>127.82496996023021</v>
      </c>
      <c r="AA20" s="24">
        <f>'NREL ATB Storage'!BU21</f>
        <v>125.99889896079836</v>
      </c>
      <c r="AB20" s="24">
        <f>'NREL ATB Storage'!BV21</f>
        <v>124.17282796136649</v>
      </c>
      <c r="AC20" s="24">
        <f>'NREL ATB Storage'!BW21</f>
        <v>122.34675696193464</v>
      </c>
      <c r="AD20" s="24">
        <f>'NREL ATB Storage'!BX21</f>
        <v>120.5206859625028</v>
      </c>
      <c r="AE20" s="24">
        <f>'NREL ATB Storage'!BY21</f>
        <v>118.69461496307093</v>
      </c>
      <c r="AF20" s="24">
        <f>'NREL ATB Storage'!BZ21</f>
        <v>116.86854396363908</v>
      </c>
      <c r="AG20" s="24">
        <f>'NREL ATB Storage'!CA21</f>
        <v>115.04247296420724</v>
      </c>
      <c r="AH20" s="24">
        <f>'NREL ATB Storage'!CB21</f>
        <v>113.21640196477537</v>
      </c>
      <c r="AI20" s="24">
        <f>'NREL ATB Storage'!CC21</f>
        <v>111.39033096534352</v>
      </c>
      <c r="AJ20" s="24">
        <f>'NREL ATB Storage'!CD21</f>
        <v>109.56425996591155</v>
      </c>
    </row>
    <row r="21" spans="3:36" x14ac:dyDescent="0.25">
      <c r="D21" s="16" t="s">
        <v>32</v>
      </c>
      <c r="E21" s="16" t="s">
        <v>33</v>
      </c>
      <c r="F21" s="24">
        <f>'NREL ATB Storage'!N18</f>
        <v>36.365216598113157</v>
      </c>
      <c r="G21" s="24">
        <f>'NREL ATB Storage'!O18</f>
        <v>34.112541376649993</v>
      </c>
      <c r="H21" s="24">
        <f>'NREL ATB Storage'!P18</f>
        <v>31.859866155186879</v>
      </c>
      <c r="I21" s="24">
        <f>'NREL ATB Storage'!Q18</f>
        <v>29.607190933723771</v>
      </c>
      <c r="J21" s="24">
        <f>'NREL ATB Storage'!R18</f>
        <v>27.354515712260657</v>
      </c>
      <c r="K21" s="24">
        <f>'NREL ATB Storage'!S18</f>
        <v>25.101840490797549</v>
      </c>
      <c r="L21" s="24">
        <f>'NREL ATB Storage'!T18</f>
        <v>24.16763706383049</v>
      </c>
      <c r="M21" s="24">
        <f>'NREL ATB Storage'!U18</f>
        <v>23.233433636863431</v>
      </c>
      <c r="N21" s="24">
        <f>'NREL ATB Storage'!V18</f>
        <v>22.299230209896375</v>
      </c>
      <c r="O21" s="24">
        <f>'NREL ATB Storage'!W18</f>
        <v>21.36502678292932</v>
      </c>
      <c r="P21" s="24">
        <f>'NREL ATB Storage'!X18</f>
        <v>20.430823355962247</v>
      </c>
      <c r="Q21" s="24">
        <f>'NREL ATB Storage'!Y18</f>
        <v>20.175438064012724</v>
      </c>
      <c r="R21" s="24">
        <f>'NREL ATB Storage'!Z18</f>
        <v>19.920052772063197</v>
      </c>
      <c r="S21" s="24">
        <f>'NREL ATB Storage'!AA18</f>
        <v>19.664667480113668</v>
      </c>
      <c r="T21" s="24">
        <f>'NREL ATB Storage'!AB18</f>
        <v>19.409282188164141</v>
      </c>
      <c r="U21" s="24">
        <f>'NREL ATB Storage'!AC18</f>
        <v>19.153896896214611</v>
      </c>
      <c r="V21" s="24">
        <f>'NREL ATB Storage'!AD18</f>
        <v>18.898511604265089</v>
      </c>
      <c r="W21" s="24">
        <f>'NREL ATB Storage'!AE18</f>
        <v>18.643126312315559</v>
      </c>
      <c r="X21" s="24">
        <f>'NREL ATB Storage'!AF18</f>
        <v>18.387741020366033</v>
      </c>
      <c r="Y21" s="24">
        <f>'NREL ATB Storage'!AG18</f>
        <v>18.132355728416503</v>
      </c>
      <c r="Z21" s="24">
        <f>'NREL ATB Storage'!AH18</f>
        <v>17.87697043646698</v>
      </c>
      <c r="AA21" s="24">
        <f>'NREL ATB Storage'!AI18</f>
        <v>17.62158514451745</v>
      </c>
      <c r="AB21" s="24">
        <f>'NREL ATB Storage'!AJ18</f>
        <v>17.366199852567924</v>
      </c>
      <c r="AC21" s="24">
        <f>'NREL ATB Storage'!AK18</f>
        <v>17.110814560618394</v>
      </c>
      <c r="AD21" s="24">
        <f>'NREL ATB Storage'!AL18</f>
        <v>16.855429268668871</v>
      </c>
      <c r="AE21" s="24">
        <f>'NREL ATB Storage'!AM18</f>
        <v>16.600043976719345</v>
      </c>
      <c r="AF21" s="24">
        <f>'NREL ATB Storage'!AN18</f>
        <v>16.344658684769815</v>
      </c>
      <c r="AG21" s="24">
        <f>'NREL ATB Storage'!AO18</f>
        <v>16.089273392820285</v>
      </c>
      <c r="AH21" s="24">
        <f>'NREL ATB Storage'!AP18</f>
        <v>15.833888100870759</v>
      </c>
      <c r="AI21" s="24">
        <f>'NREL ATB Storage'!AQ18</f>
        <v>15.578502808921233</v>
      </c>
      <c r="AJ21" s="24">
        <f>'NREL ATB Storage'!AR18</f>
        <v>15.32311751697169</v>
      </c>
    </row>
    <row r="22" spans="3:36" x14ac:dyDescent="0.25">
      <c r="D22" s="16" t="s">
        <v>34</v>
      </c>
      <c r="E22" s="16" t="s">
        <v>35</v>
      </c>
      <c r="F22" s="25">
        <f>'NREL ATB Storage'!O$26</f>
        <v>0</v>
      </c>
      <c r="G22" s="25">
        <f>'NREL ATB Storage'!P$26</f>
        <v>0</v>
      </c>
      <c r="H22" s="25">
        <f>'NREL ATB Storage'!Q$26</f>
        <v>0</v>
      </c>
      <c r="I22" s="25">
        <f>'NREL ATB Storage'!R$26</f>
        <v>0</v>
      </c>
      <c r="J22" s="25">
        <f>'NREL ATB Storage'!S$26</f>
        <v>0</v>
      </c>
      <c r="K22" s="25">
        <f>'NREL ATB Storage'!T$26</f>
        <v>0</v>
      </c>
      <c r="L22" s="25">
        <f>'NREL ATB Storage'!U$26</f>
        <v>0</v>
      </c>
      <c r="M22" s="25">
        <f>'NREL ATB Storage'!V$26</f>
        <v>0</v>
      </c>
      <c r="N22" s="25">
        <f>'NREL ATB Storage'!W$26</f>
        <v>0</v>
      </c>
      <c r="O22" s="25">
        <f>'NREL ATB Storage'!X$26</f>
        <v>0</v>
      </c>
      <c r="P22" s="25">
        <f>'NREL ATB Storage'!Y$26</f>
        <v>0</v>
      </c>
      <c r="Q22" s="25">
        <f>'NREL ATB Storage'!Z$26</f>
        <v>0</v>
      </c>
      <c r="R22" s="25">
        <f>'NREL ATB Storage'!AA$26</f>
        <v>0</v>
      </c>
      <c r="S22" s="25">
        <f>'NREL ATB Storage'!AB$26</f>
        <v>0</v>
      </c>
      <c r="T22" s="25">
        <f>'NREL ATB Storage'!AC$26</f>
        <v>0</v>
      </c>
      <c r="U22" s="25">
        <f>'NREL ATB Storage'!AD$26</f>
        <v>0</v>
      </c>
      <c r="V22" s="25">
        <f>'NREL ATB Storage'!AE$26</f>
        <v>0</v>
      </c>
      <c r="W22" s="25">
        <f>'NREL ATB Storage'!AF$26</f>
        <v>0</v>
      </c>
      <c r="X22" s="25">
        <f>'NREL ATB Storage'!AG$26</f>
        <v>0</v>
      </c>
      <c r="Y22" s="25">
        <f>'NREL ATB Storage'!AH$26</f>
        <v>0</v>
      </c>
      <c r="Z22" s="25">
        <f>'NREL ATB Storage'!AI$26</f>
        <v>0</v>
      </c>
      <c r="AA22" s="25">
        <f>'NREL ATB Storage'!AJ$26</f>
        <v>0</v>
      </c>
      <c r="AB22" s="25">
        <f>'NREL ATB Storage'!AK$26</f>
        <v>0</v>
      </c>
      <c r="AC22" s="25">
        <f>'NREL ATB Storage'!AL$26</f>
        <v>0</v>
      </c>
      <c r="AD22" s="25">
        <f>'NREL ATB Storage'!AM$26</f>
        <v>0</v>
      </c>
      <c r="AE22" s="25">
        <f>'NREL ATB Storage'!AN$26</f>
        <v>0</v>
      </c>
      <c r="AF22" s="25">
        <f>'NREL ATB Storage'!AO$26</f>
        <v>0</v>
      </c>
      <c r="AG22" s="25">
        <f>'NREL ATB Storage'!AP$26</f>
        <v>0</v>
      </c>
      <c r="AH22" s="25">
        <f>'NREL ATB Storage'!AQ$26</f>
        <v>0</v>
      </c>
      <c r="AI22" s="25">
        <f>'NREL ATB Storage'!AR$26</f>
        <v>0</v>
      </c>
      <c r="AJ22" s="25">
        <f>'NREL ATB Storage'!AS$26</f>
        <v>0</v>
      </c>
    </row>
    <row r="23" spans="3:36" x14ac:dyDescent="0.25">
      <c r="D23" s="16" t="s">
        <v>36</v>
      </c>
      <c r="F23" s="26">
        <f>((F19*$C$7*1000*$C$8)+(F20*1000*$C$8))</f>
        <v>5818434.6556981038</v>
      </c>
      <c r="G23" s="26">
        <f>((G19*$C$7*1000*$C$8)+(G20*1000*$C$8))</f>
        <v>5458006.6202639975</v>
      </c>
      <c r="H23" s="26">
        <f>((H19*$C$7*1000*$C$8)+(H20*1000*$C$8))</f>
        <v>5097578.5848299004</v>
      </c>
      <c r="I23" s="26">
        <f t="shared" ref="I23:AJ23" si="0">((I19*$C$7*1000*$C$8)+(I20*1000*$C$8))</f>
        <v>4737150.5493958024</v>
      </c>
      <c r="J23" s="26">
        <f t="shared" si="0"/>
        <v>4376722.5139617054</v>
      </c>
      <c r="K23" s="26">
        <f t="shared" si="0"/>
        <v>4016294.4785276074</v>
      </c>
      <c r="L23" s="26">
        <f t="shared" si="0"/>
        <v>3866821.9302128786</v>
      </c>
      <c r="M23" s="26">
        <f t="shared" si="0"/>
        <v>3717349.3818981485</v>
      </c>
      <c r="N23" s="26">
        <f t="shared" si="0"/>
        <v>3567876.8335834197</v>
      </c>
      <c r="O23" s="26">
        <f t="shared" si="0"/>
        <v>3418404.2852686909</v>
      </c>
      <c r="P23" s="26">
        <f t="shared" si="0"/>
        <v>3268931.7369539593</v>
      </c>
      <c r="Q23" s="26">
        <f t="shared" si="0"/>
        <v>3228070.0902420357</v>
      </c>
      <c r="R23" s="26">
        <f t="shared" si="0"/>
        <v>3187208.4435301116</v>
      </c>
      <c r="S23" s="26">
        <f t="shared" si="0"/>
        <v>3146346.796818187</v>
      </c>
      <c r="T23" s="26">
        <f t="shared" si="0"/>
        <v>3105485.1501062624</v>
      </c>
      <c r="U23" s="26">
        <f t="shared" si="0"/>
        <v>3064623.5033943374</v>
      </c>
      <c r="V23" s="26">
        <f t="shared" si="0"/>
        <v>3023761.8566824137</v>
      </c>
      <c r="W23" s="26">
        <f t="shared" si="0"/>
        <v>2982900.2099704891</v>
      </c>
      <c r="X23" s="26">
        <f t="shared" si="0"/>
        <v>2942038.563258565</v>
      </c>
      <c r="Y23" s="26">
        <f t="shared" si="0"/>
        <v>2901176.9165466405</v>
      </c>
      <c r="Z23" s="26">
        <f t="shared" si="0"/>
        <v>2860315.2698347168</v>
      </c>
      <c r="AA23" s="26">
        <f t="shared" si="0"/>
        <v>2819453.6231227922</v>
      </c>
      <c r="AB23" s="26">
        <f t="shared" si="0"/>
        <v>2778591.9764108676</v>
      </c>
      <c r="AC23" s="26">
        <f t="shared" si="0"/>
        <v>2737730.3296989431</v>
      </c>
      <c r="AD23" s="26">
        <f t="shared" si="0"/>
        <v>2696868.6829870194</v>
      </c>
      <c r="AE23" s="26">
        <f t="shared" si="0"/>
        <v>2656007.0362750948</v>
      </c>
      <c r="AF23" s="26">
        <f t="shared" si="0"/>
        <v>2615145.3895631703</v>
      </c>
      <c r="AG23" s="26">
        <f t="shared" si="0"/>
        <v>2574283.7428512452</v>
      </c>
      <c r="AH23" s="26">
        <f t="shared" si="0"/>
        <v>2533422.0961393211</v>
      </c>
      <c r="AI23" s="26">
        <f t="shared" si="0"/>
        <v>2492560.4494273975</v>
      </c>
      <c r="AJ23" s="26">
        <f t="shared" si="0"/>
        <v>2451698.8027154701</v>
      </c>
    </row>
    <row r="24" spans="3:36" x14ac:dyDescent="0.25"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</row>
    <row r="25" spans="3:36" x14ac:dyDescent="0.25">
      <c r="D25" s="16" t="s">
        <v>37</v>
      </c>
      <c r="F25" s="26">
        <f>F23*$C$11</f>
        <v>559079.29740544339</v>
      </c>
      <c r="G25" s="26">
        <f t="shared" ref="G25:AJ25" si="1">G23*$C$11</f>
        <v>524446.64021501096</v>
      </c>
      <c r="H25" s="26">
        <f>H23*$C$11</f>
        <v>489813.98302457936</v>
      </c>
      <c r="I25" s="26">
        <f t="shared" si="1"/>
        <v>455181.32583414769</v>
      </c>
      <c r="J25" s="26">
        <f t="shared" si="1"/>
        <v>420548.66864371614</v>
      </c>
      <c r="K25" s="26">
        <f t="shared" si="1"/>
        <v>385916.01145328442</v>
      </c>
      <c r="L25" s="26">
        <f t="shared" si="1"/>
        <v>371553.55621605652</v>
      </c>
      <c r="M25" s="26">
        <f t="shared" si="1"/>
        <v>357191.10097882844</v>
      </c>
      <c r="N25" s="26">
        <f t="shared" si="1"/>
        <v>342828.64574160049</v>
      </c>
      <c r="O25" s="26">
        <f t="shared" si="1"/>
        <v>328466.19050437259</v>
      </c>
      <c r="P25" s="26">
        <f t="shared" si="1"/>
        <v>314103.73526714434</v>
      </c>
      <c r="Q25" s="26">
        <f t="shared" si="1"/>
        <v>310177.43857630511</v>
      </c>
      <c r="R25" s="26">
        <f t="shared" si="1"/>
        <v>306251.14188546588</v>
      </c>
      <c r="S25" s="26">
        <f t="shared" si="1"/>
        <v>302324.84519462654</v>
      </c>
      <c r="T25" s="26">
        <f t="shared" si="1"/>
        <v>298398.54850378726</v>
      </c>
      <c r="U25" s="26">
        <f t="shared" si="1"/>
        <v>294472.25181294786</v>
      </c>
      <c r="V25" s="26">
        <f t="shared" si="1"/>
        <v>290545.95512210863</v>
      </c>
      <c r="W25" s="26">
        <f t="shared" si="1"/>
        <v>286619.65843126934</v>
      </c>
      <c r="X25" s="26">
        <f t="shared" si="1"/>
        <v>282693.36174043006</v>
      </c>
      <c r="Y25" s="26">
        <f t="shared" si="1"/>
        <v>278767.06504959078</v>
      </c>
      <c r="Z25" s="26">
        <f t="shared" si="1"/>
        <v>274840.76835875155</v>
      </c>
      <c r="AA25" s="26">
        <f t="shared" si="1"/>
        <v>270914.47166791221</v>
      </c>
      <c r="AB25" s="26">
        <f t="shared" si="1"/>
        <v>266988.17497707292</v>
      </c>
      <c r="AC25" s="26">
        <f t="shared" si="1"/>
        <v>263061.87828623358</v>
      </c>
      <c r="AD25" s="26">
        <f t="shared" si="1"/>
        <v>259135.58159539438</v>
      </c>
      <c r="AE25" s="26">
        <f t="shared" si="1"/>
        <v>255209.28490455507</v>
      </c>
      <c r="AF25" s="26">
        <f t="shared" si="1"/>
        <v>251282.98821371575</v>
      </c>
      <c r="AG25" s="26">
        <f t="shared" si="1"/>
        <v>247356.69152287638</v>
      </c>
      <c r="AH25" s="26">
        <f t="shared" si="1"/>
        <v>243430.39483203713</v>
      </c>
      <c r="AI25" s="26">
        <f t="shared" si="1"/>
        <v>239504.0981411979</v>
      </c>
      <c r="AJ25" s="26">
        <f t="shared" si="1"/>
        <v>235577.80145035833</v>
      </c>
    </row>
    <row r="26" spans="3:36" x14ac:dyDescent="0.25">
      <c r="D26" s="16" t="s">
        <v>38</v>
      </c>
      <c r="F26" s="26">
        <f>-PMT($C$5,10,NPV($C$5,G21:O21)+F21)*$C$8*1000</f>
        <v>122437.68469509757</v>
      </c>
      <c r="G26" s="26">
        <f t="shared" ref="G26:AJ26" si="2">-PMT($C$5,10,NPV($C$5,H21:P21)+G21)*$C$8*1000</f>
        <v>115109.30711627101</v>
      </c>
      <c r="H26" s="26">
        <f>-PMT($C$5,10,NPV($C$5,I21:Q21)+H21)*$C$8*1000</f>
        <v>108563.2658613009</v>
      </c>
      <c r="I26" s="26">
        <f t="shared" si="2"/>
        <v>102856.43678093141</v>
      </c>
      <c r="J26" s="26">
        <f t="shared" si="2"/>
        <v>98049.830600256173</v>
      </c>
      <c r="K26" s="26">
        <f t="shared" si="2"/>
        <v>94208.893524082843</v>
      </c>
      <c r="L26" s="26">
        <f t="shared" si="2"/>
        <v>91403.829696308792</v>
      </c>
      <c r="M26" s="26">
        <f t="shared" si="2"/>
        <v>88894.392838479049</v>
      </c>
      <c r="N26" s="26">
        <f t="shared" si="2"/>
        <v>86702.075031308617</v>
      </c>
      <c r="O26" s="26">
        <f t="shared" si="2"/>
        <v>84849.930829780424</v>
      </c>
      <c r="P26" s="26">
        <f t="shared" si="2"/>
        <v>83362.690855024615</v>
      </c>
      <c r="Q26" s="26">
        <f t="shared" si="2"/>
        <v>82266.88364432758</v>
      </c>
      <c r="R26" s="26">
        <f t="shared" si="2"/>
        <v>81171.076433630544</v>
      </c>
      <c r="S26" s="26">
        <f t="shared" si="2"/>
        <v>80075.269222933508</v>
      </c>
      <c r="T26" s="26">
        <f t="shared" si="2"/>
        <v>78979.462012236501</v>
      </c>
      <c r="U26" s="26">
        <f t="shared" si="2"/>
        <v>77883.654801539466</v>
      </c>
      <c r="V26" s="26">
        <f t="shared" si="2"/>
        <v>76787.847590842444</v>
      </c>
      <c r="W26" s="26">
        <f t="shared" si="2"/>
        <v>75692.040380145394</v>
      </c>
      <c r="X26" s="26">
        <f t="shared" si="2"/>
        <v>74596.233169448387</v>
      </c>
      <c r="Y26" s="26">
        <f t="shared" si="2"/>
        <v>73500.425958751337</v>
      </c>
      <c r="Z26" s="26">
        <f t="shared" si="2"/>
        <v>72404.618748054287</v>
      </c>
      <c r="AA26" s="26">
        <f t="shared" si="2"/>
        <v>71308.811537357265</v>
      </c>
      <c r="AB26" s="26">
        <f t="shared" si="2"/>
        <v>65592.949745844351</v>
      </c>
      <c r="AC26" s="26">
        <f t="shared" si="2"/>
        <v>59619.515996150491</v>
      </c>
      <c r="AD26" s="26">
        <f t="shared" si="2"/>
        <v>53369.784806915879</v>
      </c>
      <c r="AE26" s="26">
        <f t="shared" si="2"/>
        <v>46823.669354285936</v>
      </c>
      <c r="AF26" s="26">
        <f t="shared" si="2"/>
        <v>39959.62250231178</v>
      </c>
      <c r="AG26" s="26">
        <f t="shared" si="2"/>
        <v>32754.530638261131</v>
      </c>
      <c r="AH26" s="26">
        <f t="shared" si="2"/>
        <v>25183.599789756001</v>
      </c>
      <c r="AI26" s="26">
        <f t="shared" si="2"/>
        <v>17220.233462626566</v>
      </c>
      <c r="AJ26" s="26">
        <f t="shared" si="2"/>
        <v>8835.9015975768325</v>
      </c>
    </row>
    <row r="27" spans="3:36" x14ac:dyDescent="0.25">
      <c r="D27" s="16" t="s">
        <v>39</v>
      </c>
      <c r="E27" s="23" t="s">
        <v>40</v>
      </c>
      <c r="F27" s="26">
        <f>SUM(F25:F26)+($C$7*$C$8*$C$10*F22)</f>
        <v>681516.982100541</v>
      </c>
      <c r="G27" s="26">
        <f t="shared" ref="G27:AJ27" si="3">SUM(G25:G26)+($C$7*$C$8*$C$10*G22)</f>
        <v>639555.94733128196</v>
      </c>
      <c r="H27" s="26">
        <f>SUM(H25:H26)+($C$7*$C$8*$C$10*H22)</f>
        <v>598377.24888588022</v>
      </c>
      <c r="I27" s="26">
        <f t="shared" si="3"/>
        <v>558037.76261507906</v>
      </c>
      <c r="J27" s="26">
        <f t="shared" si="3"/>
        <v>518598.4992439723</v>
      </c>
      <c r="K27" s="26">
        <f t="shared" si="3"/>
        <v>480124.90497736726</v>
      </c>
      <c r="L27" s="26">
        <f t="shared" si="3"/>
        <v>462957.38591236528</v>
      </c>
      <c r="M27" s="26">
        <f t="shared" si="3"/>
        <v>446085.49381730752</v>
      </c>
      <c r="N27" s="26">
        <f t="shared" si="3"/>
        <v>429530.72077290912</v>
      </c>
      <c r="O27" s="26">
        <f t="shared" si="3"/>
        <v>413316.12133415299</v>
      </c>
      <c r="P27" s="26">
        <f t="shared" si="3"/>
        <v>397466.42612216895</v>
      </c>
      <c r="Q27" s="26">
        <f t="shared" si="3"/>
        <v>392444.32222063269</v>
      </c>
      <c r="R27" s="26">
        <f t="shared" si="3"/>
        <v>387422.21831909643</v>
      </c>
      <c r="S27" s="26">
        <f t="shared" si="3"/>
        <v>382400.11441756005</v>
      </c>
      <c r="T27" s="26">
        <f t="shared" si="3"/>
        <v>377378.01051602373</v>
      </c>
      <c r="U27" s="26">
        <f t="shared" si="3"/>
        <v>372355.90661448729</v>
      </c>
      <c r="V27" s="26">
        <f t="shared" si="3"/>
        <v>367333.80271295109</v>
      </c>
      <c r="W27" s="26">
        <f t="shared" si="3"/>
        <v>362311.69881141477</v>
      </c>
      <c r="X27" s="26">
        <f t="shared" si="3"/>
        <v>357289.59490987845</v>
      </c>
      <c r="Y27" s="26">
        <f t="shared" si="3"/>
        <v>352267.49100834213</v>
      </c>
      <c r="Z27" s="26">
        <f t="shared" si="3"/>
        <v>347245.38710680581</v>
      </c>
      <c r="AA27" s="26">
        <f t="shared" si="3"/>
        <v>342223.28320526949</v>
      </c>
      <c r="AB27" s="26">
        <f t="shared" si="3"/>
        <v>332581.12472291727</v>
      </c>
      <c r="AC27" s="26">
        <f t="shared" si="3"/>
        <v>322681.39428238408</v>
      </c>
      <c r="AD27" s="26">
        <f t="shared" si="3"/>
        <v>312505.36640231026</v>
      </c>
      <c r="AE27" s="26">
        <f t="shared" si="3"/>
        <v>302032.954258841</v>
      </c>
      <c r="AF27" s="26">
        <f t="shared" si="3"/>
        <v>291242.61071602756</v>
      </c>
      <c r="AG27" s="26">
        <f t="shared" si="3"/>
        <v>280111.2221611375</v>
      </c>
      <c r="AH27" s="26">
        <f t="shared" si="3"/>
        <v>268613.99462179316</v>
      </c>
      <c r="AI27" s="26">
        <f t="shared" si="3"/>
        <v>256724.33160382445</v>
      </c>
      <c r="AJ27" s="26">
        <f t="shared" si="3"/>
        <v>244413.70304793515</v>
      </c>
    </row>
    <row r="28" spans="3:36" x14ac:dyDescent="0.25">
      <c r="D28" s="16" t="s">
        <v>41</v>
      </c>
      <c r="E28" s="23" t="s">
        <v>42</v>
      </c>
      <c r="F28" s="27">
        <f>F27/$C$8/12/1000</f>
        <v>14.198270460427937</v>
      </c>
      <c r="G28" s="27">
        <f t="shared" ref="G28:AJ28" si="4">G27/$C$8/12/1000</f>
        <v>13.324082236068374</v>
      </c>
      <c r="H28" s="27">
        <f>H27/$C$8/12/1000</f>
        <v>12.466192685122506</v>
      </c>
      <c r="I28" s="27">
        <f t="shared" si="4"/>
        <v>11.625786721147481</v>
      </c>
      <c r="J28" s="27">
        <f t="shared" si="4"/>
        <v>10.80413540091609</v>
      </c>
      <c r="K28" s="27">
        <f t="shared" si="4"/>
        <v>10.002602187028485</v>
      </c>
      <c r="L28" s="27">
        <f t="shared" si="4"/>
        <v>9.6449455398409434</v>
      </c>
      <c r="M28" s="27">
        <f t="shared" si="4"/>
        <v>9.2934477878605737</v>
      </c>
      <c r="N28" s="27">
        <f t="shared" si="4"/>
        <v>8.94855668276894</v>
      </c>
      <c r="O28" s="27">
        <f t="shared" si="4"/>
        <v>8.6107525277948529</v>
      </c>
      <c r="P28" s="27">
        <f t="shared" si="4"/>
        <v>8.2805505442118541</v>
      </c>
      <c r="Q28" s="27">
        <f t="shared" si="4"/>
        <v>8.1759233795965152</v>
      </c>
      <c r="R28" s="27">
        <f t="shared" si="4"/>
        <v>8.0712962149811762</v>
      </c>
      <c r="S28" s="27">
        <f t="shared" si="4"/>
        <v>7.9666690503658346</v>
      </c>
      <c r="T28" s="27">
        <f t="shared" si="4"/>
        <v>7.8620418857504948</v>
      </c>
      <c r="U28" s="27">
        <f t="shared" si="4"/>
        <v>7.7574147211351523</v>
      </c>
      <c r="V28" s="27">
        <f t="shared" si="4"/>
        <v>7.6527875565198142</v>
      </c>
      <c r="W28" s="27">
        <f t="shared" si="4"/>
        <v>7.5481603919044744</v>
      </c>
      <c r="X28" s="27">
        <f t="shared" si="4"/>
        <v>7.4435332272891346</v>
      </c>
      <c r="Y28" s="27">
        <f t="shared" si="4"/>
        <v>7.3389060626737948</v>
      </c>
      <c r="Z28" s="27">
        <f t="shared" si="4"/>
        <v>7.2342788980584549</v>
      </c>
      <c r="AA28" s="27">
        <f t="shared" si="4"/>
        <v>7.1296517334431142</v>
      </c>
      <c r="AB28" s="27">
        <f t="shared" si="4"/>
        <v>6.9287734317274436</v>
      </c>
      <c r="AC28" s="27">
        <f t="shared" si="4"/>
        <v>6.7225290475496688</v>
      </c>
      <c r="AD28" s="27">
        <f t="shared" si="4"/>
        <v>6.5105284667147973</v>
      </c>
      <c r="AE28" s="27">
        <f t="shared" si="4"/>
        <v>6.2923532137258542</v>
      </c>
      <c r="AF28" s="27">
        <f t="shared" si="4"/>
        <v>6.0675543899172411</v>
      </c>
      <c r="AG28" s="27">
        <f t="shared" si="4"/>
        <v>5.8356504616903653</v>
      </c>
      <c r="AH28" s="27">
        <f t="shared" si="4"/>
        <v>5.5961248879540246</v>
      </c>
      <c r="AI28" s="27">
        <f t="shared" si="4"/>
        <v>5.3484235750796758</v>
      </c>
      <c r="AJ28" s="27">
        <f t="shared" si="4"/>
        <v>5.0919521468319831</v>
      </c>
    </row>
    <row r="29" spans="3:36" x14ac:dyDescent="0.25">
      <c r="D29" s="16" t="s">
        <v>46</v>
      </c>
      <c r="F29" s="21">
        <f>F28*(1+$C$13)^(F$18-2018)</f>
        <v>14.829866323589613</v>
      </c>
      <c r="G29" s="21">
        <f t="shared" ref="G29:AJ29" si="5">G28*(1+$C$13)^(G$18-2018)</f>
        <v>14.222960105883308</v>
      </c>
      <c r="H29" s="21">
        <f>H28*(1+$C$13)^(H$18-2018)</f>
        <v>13.59995334533016</v>
      </c>
      <c r="I29" s="21">
        <f t="shared" si="5"/>
        <v>12.962143658940622</v>
      </c>
      <c r="J29" s="21">
        <f t="shared" si="5"/>
        <v>12.31105844483398</v>
      </c>
      <c r="K29" s="21">
        <f t="shared" si="5"/>
        <v>11.648480243686071</v>
      </c>
      <c r="L29" s="21">
        <f t="shared" si="5"/>
        <v>11.479076393516499</v>
      </c>
      <c r="M29" s="21">
        <f t="shared" si="5"/>
        <v>11.304072273108822</v>
      </c>
      <c r="N29" s="21">
        <f t="shared" si="5"/>
        <v>11.124024875856621</v>
      </c>
      <c r="O29" s="21">
        <f t="shared" si="5"/>
        <v>10.939587885111653</v>
      </c>
      <c r="P29" s="21">
        <f t="shared" si="5"/>
        <v>10.751522349041974</v>
      </c>
      <c r="Q29" s="21">
        <f t="shared" si="5"/>
        <v>10.849218559176466</v>
      </c>
      <c r="R29" s="21">
        <f t="shared" si="5"/>
        <v>10.946009665739936</v>
      </c>
      <c r="S29" s="21">
        <f t="shared" si="5"/>
        <v>11.041808559209558</v>
      </c>
      <c r="T29" s="21">
        <f t="shared" si="5"/>
        <v>11.136524735313627</v>
      </c>
      <c r="U29" s="21">
        <f t="shared" si="5"/>
        <v>11.230064187823611</v>
      </c>
      <c r="V29" s="21">
        <f t="shared" si="5"/>
        <v>11.32232929827215</v>
      </c>
      <c r="W29" s="21">
        <f t="shared" si="5"/>
        <v>11.413218722513518</v>
      </c>
      <c r="X29" s="21">
        <f t="shared" si="5"/>
        <v>11.50262727404114</v>
      </c>
      <c r="Y29" s="21">
        <f t="shared" si="5"/>
        <v>11.590445803974282</v>
      </c>
      <c r="Z29" s="21">
        <f t="shared" si="5"/>
        <v>11.676561077623845</v>
      </c>
      <c r="AA29" s="21">
        <f t="shared" si="5"/>
        <v>11.760855647544865</v>
      </c>
      <c r="AB29" s="21">
        <f t="shared" si="5"/>
        <v>11.680941783682847</v>
      </c>
      <c r="AC29" s="21">
        <f t="shared" si="5"/>
        <v>11.582573969848271</v>
      </c>
      <c r="AD29" s="21">
        <f t="shared" si="5"/>
        <v>11.464088575814396</v>
      </c>
      <c r="AE29" s="21">
        <f t="shared" si="5"/>
        <v>11.323671964635203</v>
      </c>
      <c r="AF29" s="21">
        <f t="shared" si="5"/>
        <v>11.159346440961334</v>
      </c>
      <c r="AG29" s="21">
        <f t="shared" si="5"/>
        <v>10.968954858580908</v>
      </c>
      <c r="AH29" s="21">
        <f t="shared" si="5"/>
        <v>10.750143758424153</v>
      </c>
      <c r="AI29" s="21">
        <f t="shared" si="5"/>
        <v>10.500344895880612</v>
      </c>
      <c r="AJ29" s="21">
        <f t="shared" si="5"/>
        <v>10.216755002694926</v>
      </c>
    </row>
    <row r="30" spans="3:36" x14ac:dyDescent="0.25">
      <c r="E30" s="23"/>
      <c r="F30" s="26">
        <f>F29*12*$C$8</f>
        <v>711.83358353230142</v>
      </c>
      <c r="G30" s="35">
        <f>G29*12*$C$8</f>
        <v>682.70208508239875</v>
      </c>
      <c r="H30" s="35">
        <f>H29*12*$C$8</f>
        <v>652.79776057584763</v>
      </c>
      <c r="I30" s="35">
        <f t="shared" ref="I30:AJ30" si="6">I29*12*$C$8</f>
        <v>622.18289562914993</v>
      </c>
      <c r="J30" s="35">
        <f t="shared" si="6"/>
        <v>590.93080535203103</v>
      </c>
      <c r="K30" s="35">
        <f t="shared" si="6"/>
        <v>559.1270516969314</v>
      </c>
      <c r="L30" s="35">
        <f t="shared" si="6"/>
        <v>550.9956668887919</v>
      </c>
      <c r="M30" s="35">
        <f t="shared" si="6"/>
        <v>542.59546910922347</v>
      </c>
      <c r="N30" s="35">
        <f t="shared" si="6"/>
        <v>533.95319404111785</v>
      </c>
      <c r="O30" s="35">
        <f t="shared" si="6"/>
        <v>525.10021848535939</v>
      </c>
      <c r="P30" s="35">
        <f t="shared" si="6"/>
        <v>516.07307275401467</v>
      </c>
      <c r="Q30" s="35">
        <f t="shared" si="6"/>
        <v>520.76249084047038</v>
      </c>
      <c r="R30" s="35">
        <f t="shared" si="6"/>
        <v>525.40846395551694</v>
      </c>
      <c r="S30" s="35">
        <f t="shared" si="6"/>
        <v>530.00681084205883</v>
      </c>
      <c r="T30" s="35">
        <f t="shared" si="6"/>
        <v>534.55318729505404</v>
      </c>
      <c r="U30" s="35">
        <f t="shared" si="6"/>
        <v>539.04308101553329</v>
      </c>
      <c r="V30" s="35">
        <f t="shared" si="6"/>
        <v>543.47180631706317</v>
      </c>
      <c r="W30" s="35">
        <f t="shared" si="6"/>
        <v>547.83449868064884</v>
      </c>
      <c r="X30" s="35">
        <f t="shared" si="6"/>
        <v>552.12610915397477</v>
      </c>
      <c r="Y30" s="35">
        <f t="shared" si="6"/>
        <v>556.34139859076549</v>
      </c>
      <c r="Z30" s="35">
        <f t="shared" si="6"/>
        <v>560.47493172594454</v>
      </c>
      <c r="AA30" s="35">
        <f t="shared" si="6"/>
        <v>564.52107108215353</v>
      </c>
      <c r="AB30" s="35">
        <f t="shared" si="6"/>
        <v>560.68520561677667</v>
      </c>
      <c r="AC30" s="35">
        <f t="shared" si="6"/>
        <v>555.96355055271704</v>
      </c>
      <c r="AD30" s="35">
        <f t="shared" si="6"/>
        <v>550.27625163909102</v>
      </c>
      <c r="AE30" s="35">
        <f t="shared" si="6"/>
        <v>543.53625430248974</v>
      </c>
      <c r="AF30" s="35">
        <f t="shared" si="6"/>
        <v>535.64862916614402</v>
      </c>
      <c r="AG30" s="35">
        <f t="shared" si="6"/>
        <v>526.50983321188357</v>
      </c>
      <c r="AH30" s="35">
        <f t="shared" si="6"/>
        <v>516.00690040435938</v>
      </c>
      <c r="AI30" s="35">
        <f t="shared" si="6"/>
        <v>504.0165550022694</v>
      </c>
      <c r="AJ30" s="35">
        <f t="shared" si="6"/>
        <v>490.40424012935648</v>
      </c>
    </row>
    <row r="32" spans="3:36" x14ac:dyDescent="0.25">
      <c r="C32" s="22" t="s">
        <v>53</v>
      </c>
      <c r="E32" s="23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</row>
    <row r="33" spans="3:36" x14ac:dyDescent="0.25">
      <c r="D33" s="16" t="s">
        <v>36</v>
      </c>
      <c r="F33" s="26">
        <f>F23*0.93</f>
        <v>5411144.2297992371</v>
      </c>
      <c r="G33" s="26">
        <f t="shared" ref="G33:AJ33" si="7">G23*0.93</f>
        <v>5075946.1568455175</v>
      </c>
      <c r="H33" s="26">
        <f t="shared" si="7"/>
        <v>4740748.0838918081</v>
      </c>
      <c r="I33" s="26">
        <f t="shared" si="7"/>
        <v>4405550.0109380968</v>
      </c>
      <c r="J33" s="26">
        <f t="shared" si="7"/>
        <v>4070351.937984386</v>
      </c>
      <c r="K33" s="26">
        <f t="shared" si="7"/>
        <v>3735153.8650306752</v>
      </c>
      <c r="L33" s="26">
        <f t="shared" si="7"/>
        <v>3596144.3950979775</v>
      </c>
      <c r="M33" s="26">
        <f t="shared" si="7"/>
        <v>3457134.9251652784</v>
      </c>
      <c r="N33" s="26">
        <f t="shared" si="7"/>
        <v>3318125.4552325807</v>
      </c>
      <c r="O33" s="26">
        <f t="shared" si="7"/>
        <v>3179115.9852998825</v>
      </c>
      <c r="P33" s="26">
        <f t="shared" si="7"/>
        <v>3040106.5153671824</v>
      </c>
      <c r="Q33" s="26">
        <f t="shared" si="7"/>
        <v>3002105.1839250932</v>
      </c>
      <c r="R33" s="26">
        <f t="shared" si="7"/>
        <v>2964103.8524830039</v>
      </c>
      <c r="S33" s="26">
        <f t="shared" si="7"/>
        <v>2926102.5210409141</v>
      </c>
      <c r="T33" s="26">
        <f t="shared" si="7"/>
        <v>2888101.1895988244</v>
      </c>
      <c r="U33" s="26">
        <f t="shared" si="7"/>
        <v>2850099.8581567337</v>
      </c>
      <c r="V33" s="26">
        <f t="shared" si="7"/>
        <v>2812098.5267146449</v>
      </c>
      <c r="W33" s="26">
        <f t="shared" si="7"/>
        <v>2774097.1952725551</v>
      </c>
      <c r="X33" s="26">
        <f t="shared" si="7"/>
        <v>2736095.8638304658</v>
      </c>
      <c r="Y33" s="26">
        <f t="shared" si="7"/>
        <v>2698094.5323883756</v>
      </c>
      <c r="Z33" s="26">
        <f t="shared" si="7"/>
        <v>2660093.2009462868</v>
      </c>
      <c r="AA33" s="26">
        <f t="shared" si="7"/>
        <v>2622091.869504197</v>
      </c>
      <c r="AB33" s="26">
        <f t="shared" si="7"/>
        <v>2584090.5380621068</v>
      </c>
      <c r="AC33" s="26">
        <f t="shared" si="7"/>
        <v>2546089.2066200171</v>
      </c>
      <c r="AD33" s="26">
        <f t="shared" si="7"/>
        <v>2508087.8751779282</v>
      </c>
      <c r="AE33" s="26">
        <f t="shared" si="7"/>
        <v>2470086.5437358385</v>
      </c>
      <c r="AF33" s="26">
        <f t="shared" si="7"/>
        <v>2432085.2122937483</v>
      </c>
      <c r="AG33" s="26">
        <f t="shared" si="7"/>
        <v>2394083.8808516581</v>
      </c>
      <c r="AH33" s="26">
        <f t="shared" si="7"/>
        <v>2356082.5494095688</v>
      </c>
      <c r="AI33" s="26">
        <f t="shared" si="7"/>
        <v>2318081.21796748</v>
      </c>
      <c r="AJ33" s="26">
        <f t="shared" si="7"/>
        <v>2280079.8865253874</v>
      </c>
    </row>
    <row r="34" spans="3:36" x14ac:dyDescent="0.25"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</row>
    <row r="35" spans="3:36" x14ac:dyDescent="0.25">
      <c r="D35" s="16" t="s">
        <v>37</v>
      </c>
      <c r="F35" s="26">
        <f>F33*$C$11</f>
        <v>519943.74658706243</v>
      </c>
      <c r="G35" s="26">
        <f t="shared" ref="G35:AJ35" si="8">G33*$C$11</f>
        <v>487735.37539996015</v>
      </c>
      <c r="H35" s="26">
        <f t="shared" si="8"/>
        <v>455527.00421285885</v>
      </c>
      <c r="I35" s="26">
        <f t="shared" si="8"/>
        <v>423318.63302575739</v>
      </c>
      <c r="J35" s="26">
        <f t="shared" si="8"/>
        <v>391110.26183865598</v>
      </c>
      <c r="K35" s="26">
        <f t="shared" si="8"/>
        <v>358901.89065155457</v>
      </c>
      <c r="L35" s="26">
        <f t="shared" si="8"/>
        <v>345544.80728093261</v>
      </c>
      <c r="M35" s="26">
        <f t="shared" si="8"/>
        <v>332187.72391031048</v>
      </c>
      <c r="N35" s="26">
        <f t="shared" si="8"/>
        <v>318830.64053968847</v>
      </c>
      <c r="O35" s="26">
        <f t="shared" si="8"/>
        <v>305473.55716906645</v>
      </c>
      <c r="P35" s="26">
        <f t="shared" si="8"/>
        <v>292116.47379844426</v>
      </c>
      <c r="Q35" s="26">
        <f t="shared" si="8"/>
        <v>288465.01787596376</v>
      </c>
      <c r="R35" s="26">
        <f t="shared" si="8"/>
        <v>284813.56195348327</v>
      </c>
      <c r="S35" s="26">
        <f t="shared" si="8"/>
        <v>281162.10603100271</v>
      </c>
      <c r="T35" s="26">
        <f t="shared" si="8"/>
        <v>277510.65010852215</v>
      </c>
      <c r="U35" s="26">
        <f t="shared" si="8"/>
        <v>273859.19418604154</v>
      </c>
      <c r="V35" s="26">
        <f t="shared" si="8"/>
        <v>270207.73826356104</v>
      </c>
      <c r="W35" s="26">
        <f t="shared" si="8"/>
        <v>266556.28234108048</v>
      </c>
      <c r="X35" s="26">
        <f t="shared" si="8"/>
        <v>262904.82641859999</v>
      </c>
      <c r="Y35" s="26">
        <f t="shared" si="8"/>
        <v>259253.3704961194</v>
      </c>
      <c r="Z35" s="26">
        <f t="shared" si="8"/>
        <v>255601.91457363893</v>
      </c>
      <c r="AA35" s="26">
        <f t="shared" si="8"/>
        <v>251950.45865115841</v>
      </c>
      <c r="AB35" s="26">
        <f t="shared" si="8"/>
        <v>248299.00272867779</v>
      </c>
      <c r="AC35" s="26">
        <f t="shared" si="8"/>
        <v>244647.54680619724</v>
      </c>
      <c r="AD35" s="26">
        <f t="shared" si="8"/>
        <v>240996.0908837168</v>
      </c>
      <c r="AE35" s="26">
        <f t="shared" si="8"/>
        <v>237344.63496123624</v>
      </c>
      <c r="AF35" s="26">
        <f t="shared" si="8"/>
        <v>233693.17903875565</v>
      </c>
      <c r="AG35" s="26">
        <f t="shared" si="8"/>
        <v>230041.72311627504</v>
      </c>
      <c r="AH35" s="26">
        <f t="shared" si="8"/>
        <v>226390.26719379454</v>
      </c>
      <c r="AI35" s="26">
        <f t="shared" si="8"/>
        <v>222738.81127131407</v>
      </c>
      <c r="AJ35" s="26">
        <f t="shared" si="8"/>
        <v>219087.35534883325</v>
      </c>
    </row>
    <row r="36" spans="3:36" x14ac:dyDescent="0.25">
      <c r="D36" s="16" t="s">
        <v>38</v>
      </c>
      <c r="F36" s="26">
        <f>-PMT($C$5,10,NPV($C$5,G21:O21)+F21)*$C$8*1000</f>
        <v>122437.68469509757</v>
      </c>
      <c r="G36" s="26">
        <f t="shared" ref="G36" si="9">-PMT($C$5,10,NPV($C$5,H21:P21)+G21)*$C$8*1000</f>
        <v>115109.30711627101</v>
      </c>
      <c r="H36" s="26">
        <f t="shared" ref="H36" si="10">-PMT($C$5,10,NPV($C$5,I21:Q21)+H21)*$C$8*1000</f>
        <v>108563.2658613009</v>
      </c>
      <c r="I36" s="26">
        <f t="shared" ref="I36" si="11">-PMT($C$5,10,NPV($C$5,J21:R21)+I21)*$C$8*1000</f>
        <v>102856.43678093141</v>
      </c>
      <c r="J36" s="26">
        <f t="shared" ref="J36" si="12">-PMT($C$5,10,NPV($C$5,K21:S21)+J21)*$C$8*1000</f>
        <v>98049.830600256173</v>
      </c>
      <c r="K36" s="26">
        <f t="shared" ref="K36" si="13">-PMT($C$5,10,NPV($C$5,L21:T21)+K21)*$C$8*1000</f>
        <v>94208.893524082843</v>
      </c>
      <c r="L36" s="26">
        <f t="shared" ref="L36" si="14">-PMT($C$5,10,NPV($C$5,M21:U21)+L21)*$C$8*1000</f>
        <v>91403.829696308792</v>
      </c>
      <c r="M36" s="26">
        <f t="shared" ref="M36" si="15">-PMT($C$5,10,NPV($C$5,N21:V21)+M21)*$C$8*1000</f>
        <v>88894.392838479049</v>
      </c>
      <c r="N36" s="26">
        <f t="shared" ref="N36" si="16">-PMT($C$5,10,NPV($C$5,O21:W21)+N21)*$C$8*1000</f>
        <v>86702.075031308617</v>
      </c>
      <c r="O36" s="26">
        <f t="shared" ref="O36" si="17">-PMT($C$5,10,NPV($C$5,P21:X21)+O21)*$C$8*1000</f>
        <v>84849.930829780424</v>
      </c>
      <c r="P36" s="26">
        <f t="shared" ref="P36" si="18">-PMT($C$5,10,NPV($C$5,Q21:Y21)+P21)*$C$8*1000</f>
        <v>83362.690855024615</v>
      </c>
      <c r="Q36" s="26">
        <f t="shared" ref="Q36" si="19">-PMT($C$5,10,NPV($C$5,R21:Z21)+Q21)*$C$8*1000</f>
        <v>82266.88364432758</v>
      </c>
      <c r="R36" s="26">
        <f t="shared" ref="R36" si="20">-PMT($C$5,10,NPV($C$5,S21:AA21)+R21)*$C$8*1000</f>
        <v>81171.076433630544</v>
      </c>
      <c r="S36" s="26">
        <f t="shared" ref="S36" si="21">-PMT($C$5,10,NPV($C$5,T21:AB21)+S21)*$C$8*1000</f>
        <v>80075.269222933508</v>
      </c>
      <c r="T36" s="26">
        <f t="shared" ref="T36" si="22">-PMT($C$5,10,NPV($C$5,U21:AC21)+T21)*$C$8*1000</f>
        <v>78979.462012236501</v>
      </c>
      <c r="U36" s="26">
        <f t="shared" ref="U36" si="23">-PMT($C$5,10,NPV($C$5,V21:AD21)+U21)*$C$8*1000</f>
        <v>77883.654801539466</v>
      </c>
      <c r="V36" s="26">
        <f t="shared" ref="V36" si="24">-PMT($C$5,10,NPV($C$5,W21:AE21)+V21)*$C$8*1000</f>
        <v>76787.847590842444</v>
      </c>
      <c r="W36" s="26">
        <f t="shared" ref="W36" si="25">-PMT($C$5,10,NPV($C$5,X21:AF21)+W21)*$C$8*1000</f>
        <v>75692.040380145394</v>
      </c>
      <c r="X36" s="26">
        <f t="shared" ref="X36" si="26">-PMT($C$5,10,NPV($C$5,Y21:AG21)+X21)*$C$8*1000</f>
        <v>74596.233169448387</v>
      </c>
      <c r="Y36" s="26">
        <f t="shared" ref="Y36" si="27">-PMT($C$5,10,NPV($C$5,Z21:AH21)+Y21)*$C$8*1000</f>
        <v>73500.425958751337</v>
      </c>
      <c r="Z36" s="26">
        <f t="shared" ref="Z36" si="28">-PMT($C$5,10,NPV($C$5,AA21:AI21)+Z21)*$C$8*1000</f>
        <v>72404.618748054287</v>
      </c>
      <c r="AA36" s="26">
        <f t="shared" ref="AA36" si="29">-PMT($C$5,10,NPV($C$5,AB21:AJ21)+AA21)*$C$8*1000</f>
        <v>71308.811537357265</v>
      </c>
      <c r="AB36" s="26">
        <f t="shared" ref="AB36" si="30">-PMT($C$5,10,NPV($C$5,AC21:AK21)+AB21)*$C$8*1000</f>
        <v>65592.949745844351</v>
      </c>
      <c r="AC36" s="26">
        <f t="shared" ref="AC36" si="31">-PMT($C$5,10,NPV($C$5,AD21:AL21)+AC21)*$C$8*1000</f>
        <v>59619.515996150491</v>
      </c>
      <c r="AD36" s="26">
        <f t="shared" ref="AD36" si="32">-PMT($C$5,10,NPV($C$5,AE21:AM21)+AD21)*$C$8*1000</f>
        <v>53369.784806915879</v>
      </c>
      <c r="AE36" s="26">
        <f t="shared" ref="AE36" si="33">-PMT($C$5,10,NPV($C$5,AF21:AN21)+AE21)*$C$8*1000</f>
        <v>46823.669354285936</v>
      </c>
      <c r="AF36" s="26">
        <f t="shared" ref="AF36" si="34">-PMT($C$5,10,NPV($C$5,AG21:AO21)+AF21)*$C$8*1000</f>
        <v>39959.62250231178</v>
      </c>
      <c r="AG36" s="26">
        <f t="shared" ref="AG36" si="35">-PMT($C$5,10,NPV($C$5,AH21:AP21)+AG21)*$C$8*1000</f>
        <v>32754.530638261131</v>
      </c>
      <c r="AH36" s="26">
        <f t="shared" ref="AH36" si="36">-PMT($C$5,10,NPV($C$5,AI21:AQ21)+AH21)*$C$8*1000</f>
        <v>25183.599789756001</v>
      </c>
      <c r="AI36" s="26">
        <f t="shared" ref="AI36" si="37">-PMT($C$5,10,NPV($C$5,AJ21:AR21)+AI21)*$C$8*1000</f>
        <v>17220.233462626566</v>
      </c>
      <c r="AJ36" s="26">
        <f t="shared" ref="AJ36" si="38">-PMT($C$5,10,NPV($C$5,AK21:AS21)+AJ21)*$C$8*1000</f>
        <v>8835.9015975768325</v>
      </c>
    </row>
    <row r="37" spans="3:36" x14ac:dyDescent="0.25">
      <c r="D37" s="16" t="s">
        <v>39</v>
      </c>
      <c r="E37" s="23" t="s">
        <v>40</v>
      </c>
      <c r="F37" s="26">
        <f>SUM(F35:F36)+($C$7*$C$8*$C$10*F22)</f>
        <v>642381.43128215999</v>
      </c>
      <c r="G37" s="26">
        <f t="shared" ref="G37:AJ37" si="39">SUM(G35:G36)+($C$7*$C$8*$C$10*G22)</f>
        <v>602844.6825162312</v>
      </c>
      <c r="H37" s="26">
        <f t="shared" si="39"/>
        <v>564090.27007415972</v>
      </c>
      <c r="I37" s="26">
        <f t="shared" si="39"/>
        <v>526175.06980668881</v>
      </c>
      <c r="J37" s="26">
        <f t="shared" si="39"/>
        <v>489160.09243891214</v>
      </c>
      <c r="K37" s="26">
        <f t="shared" si="39"/>
        <v>453110.78417563741</v>
      </c>
      <c r="L37" s="26">
        <f t="shared" si="39"/>
        <v>436948.63697724137</v>
      </c>
      <c r="M37" s="26">
        <f t="shared" si="39"/>
        <v>421082.11674878956</v>
      </c>
      <c r="N37" s="26">
        <f t="shared" si="39"/>
        <v>405532.7155709971</v>
      </c>
      <c r="O37" s="26">
        <f t="shared" si="39"/>
        <v>390323.48799884686</v>
      </c>
      <c r="P37" s="26">
        <f t="shared" si="39"/>
        <v>375479.16465346888</v>
      </c>
      <c r="Q37" s="26">
        <f t="shared" si="39"/>
        <v>370731.90152029134</v>
      </c>
      <c r="R37" s="26">
        <f t="shared" si="39"/>
        <v>365984.63838711381</v>
      </c>
      <c r="S37" s="26">
        <f t="shared" si="39"/>
        <v>361237.37525393622</v>
      </c>
      <c r="T37" s="26">
        <f t="shared" si="39"/>
        <v>356490.11212075863</v>
      </c>
      <c r="U37" s="26">
        <f t="shared" si="39"/>
        <v>351742.84898758098</v>
      </c>
      <c r="V37" s="26">
        <f t="shared" si="39"/>
        <v>346995.5858544035</v>
      </c>
      <c r="W37" s="26">
        <f t="shared" si="39"/>
        <v>342248.32272122591</v>
      </c>
      <c r="X37" s="26">
        <f t="shared" si="39"/>
        <v>337501.05958804837</v>
      </c>
      <c r="Y37" s="26">
        <f t="shared" si="39"/>
        <v>332753.79645487072</v>
      </c>
      <c r="Z37" s="26">
        <f t="shared" si="39"/>
        <v>328006.53332169319</v>
      </c>
      <c r="AA37" s="26">
        <f t="shared" si="39"/>
        <v>323259.27018851566</v>
      </c>
      <c r="AB37" s="26">
        <f t="shared" si="39"/>
        <v>313891.95247452217</v>
      </c>
      <c r="AC37" s="26">
        <f t="shared" si="39"/>
        <v>304267.0628023477</v>
      </c>
      <c r="AD37" s="26">
        <f t="shared" si="39"/>
        <v>294365.87569063267</v>
      </c>
      <c r="AE37" s="26">
        <f t="shared" si="39"/>
        <v>284168.3043155222</v>
      </c>
      <c r="AF37" s="26">
        <f t="shared" si="39"/>
        <v>273652.80154106743</v>
      </c>
      <c r="AG37" s="26">
        <f t="shared" si="39"/>
        <v>262796.25375453616</v>
      </c>
      <c r="AH37" s="26">
        <f t="shared" si="39"/>
        <v>251573.86698355054</v>
      </c>
      <c r="AI37" s="26">
        <f t="shared" si="39"/>
        <v>239959.04473394062</v>
      </c>
      <c r="AJ37" s="26">
        <f t="shared" si="39"/>
        <v>227923.25694641008</v>
      </c>
    </row>
    <row r="38" spans="3:36" x14ac:dyDescent="0.25">
      <c r="D38" s="16" t="s">
        <v>41</v>
      </c>
      <c r="E38" s="23" t="s">
        <v>42</v>
      </c>
      <c r="F38" s="27">
        <f>F37/$C$8/12/1000</f>
        <v>13.382946485045</v>
      </c>
      <c r="G38" s="27">
        <f>G37/$C$8/12/1000</f>
        <v>12.559264219088151</v>
      </c>
      <c r="H38" s="27">
        <f t="shared" ref="H38:AJ38" si="40">H37/$C$8/12/1000</f>
        <v>11.751880626544995</v>
      </c>
      <c r="I38" s="27">
        <f t="shared" si="40"/>
        <v>10.961980620972684</v>
      </c>
      <c r="J38" s="27">
        <f t="shared" si="40"/>
        <v>10.190835259144004</v>
      </c>
      <c r="K38" s="27">
        <f t="shared" si="40"/>
        <v>9.4398080036591132</v>
      </c>
      <c r="L38" s="27">
        <f t="shared" si="40"/>
        <v>9.1030966036925296</v>
      </c>
      <c r="M38" s="27">
        <f t="shared" si="40"/>
        <v>8.7725440989331158</v>
      </c>
      <c r="N38" s="27">
        <f t="shared" si="40"/>
        <v>8.4485982410624398</v>
      </c>
      <c r="O38" s="27">
        <f t="shared" si="40"/>
        <v>8.1317393333093104</v>
      </c>
      <c r="P38" s="27">
        <f t="shared" si="40"/>
        <v>7.8224825969472684</v>
      </c>
      <c r="Q38" s="27">
        <f t="shared" si="40"/>
        <v>7.7235812816727369</v>
      </c>
      <c r="R38" s="27">
        <f t="shared" si="40"/>
        <v>7.6246799663982046</v>
      </c>
      <c r="S38" s="27">
        <f t="shared" si="40"/>
        <v>7.5257786511236713</v>
      </c>
      <c r="T38" s="27">
        <f t="shared" si="40"/>
        <v>7.426877335849138</v>
      </c>
      <c r="U38" s="27">
        <f t="shared" si="40"/>
        <v>7.327976020574603</v>
      </c>
      <c r="V38" s="27">
        <f t="shared" si="40"/>
        <v>7.2290747053000732</v>
      </c>
      <c r="W38" s="27">
        <f t="shared" si="40"/>
        <v>7.1301733900255391</v>
      </c>
      <c r="X38" s="27">
        <f t="shared" si="40"/>
        <v>7.0312720747510076</v>
      </c>
      <c r="Y38" s="27">
        <f t="shared" si="40"/>
        <v>6.9323707594764734</v>
      </c>
      <c r="Z38" s="27">
        <f t="shared" si="40"/>
        <v>6.8334694442019419</v>
      </c>
      <c r="AA38" s="27">
        <f t="shared" si="40"/>
        <v>6.7345681289274095</v>
      </c>
      <c r="AB38" s="27">
        <f t="shared" si="40"/>
        <v>6.5394156765525446</v>
      </c>
      <c r="AC38" s="27">
        <f t="shared" si="40"/>
        <v>6.3388971417155773</v>
      </c>
      <c r="AD38" s="27">
        <f t="shared" si="40"/>
        <v>6.1326224102215141</v>
      </c>
      <c r="AE38" s="27">
        <f t="shared" si="40"/>
        <v>5.9201730065733793</v>
      </c>
      <c r="AF38" s="27">
        <f t="shared" si="40"/>
        <v>5.7011000321055718</v>
      </c>
      <c r="AG38" s="27">
        <f t="shared" si="40"/>
        <v>5.4749219532195026</v>
      </c>
      <c r="AH38" s="27">
        <f t="shared" si="40"/>
        <v>5.2411222288239694</v>
      </c>
      <c r="AI38" s="27">
        <f t="shared" si="40"/>
        <v>4.9991467652904298</v>
      </c>
      <c r="AJ38" s="27">
        <f t="shared" si="40"/>
        <v>4.7484011863835427</v>
      </c>
    </row>
    <row r="39" spans="3:36" x14ac:dyDescent="0.25">
      <c r="D39" s="16" t="s">
        <v>46</v>
      </c>
      <c r="F39" s="21">
        <f>F38*(1+$C$13)^(F$18-2018)</f>
        <v>13.978273476485741</v>
      </c>
      <c r="G39" s="21">
        <f>G38*(1+$C$13)^(G$18-2018)</f>
        <v>13.406545440239491</v>
      </c>
      <c r="H39" s="21">
        <f t="shared" ref="H39:AJ39" si="41">H38*(1+$C$13)^(H$18-2018)</f>
        <v>12.820676872068637</v>
      </c>
      <c r="I39" s="21">
        <f t="shared" si="41"/>
        <v>12.222034603224383</v>
      </c>
      <c r="J39" s="21">
        <f t="shared" si="41"/>
        <v>11.612217342848075</v>
      </c>
      <c r="K39" s="21">
        <f t="shared" si="41"/>
        <v>10.993081098177608</v>
      </c>
      <c r="L39" s="21">
        <f t="shared" si="41"/>
        <v>10.834186766498878</v>
      </c>
      <c r="M39" s="21">
        <f t="shared" si="41"/>
        <v>10.670471796582067</v>
      </c>
      <c r="N39" s="21">
        <f t="shared" si="41"/>
        <v>10.502522399021808</v>
      </c>
      <c r="O39" s="21">
        <f t="shared" si="41"/>
        <v>10.331022382585864</v>
      </c>
      <c r="P39" s="21">
        <f t="shared" si="41"/>
        <v>10.156763854893596</v>
      </c>
      <c r="Q39" s="21">
        <f t="shared" si="41"/>
        <v>10.248973417919569</v>
      </c>
      <c r="R39" s="21">
        <f t="shared" si="41"/>
        <v>10.340324328012912</v>
      </c>
      <c r="S39" s="21">
        <f t="shared" si="41"/>
        <v>10.430734175016093</v>
      </c>
      <c r="T39" s="21">
        <f t="shared" si="41"/>
        <v>10.520117338312653</v>
      </c>
      <c r="U39" s="21">
        <f t="shared" si="41"/>
        <v>10.608384885453551</v>
      </c>
      <c r="V39" s="21">
        <f t="shared" si="41"/>
        <v>10.695444467876914</v>
      </c>
      <c r="W39" s="21">
        <f t="shared" si="41"/>
        <v>10.781200213642339</v>
      </c>
      <c r="X39" s="21">
        <f t="shared" si="41"/>
        <v>10.865552617098993</v>
      </c>
      <c r="Y39" s="21">
        <f t="shared" si="41"/>
        <v>10.948398425404335</v>
      </c>
      <c r="Z39" s="21">
        <f t="shared" si="41"/>
        <v>11.029630521808437</v>
      </c>
      <c r="AA39" s="21">
        <f t="shared" si="41"/>
        <v>11.109137805616424</v>
      </c>
      <c r="AB39" s="21">
        <f t="shared" si="41"/>
        <v>11.024539129441413</v>
      </c>
      <c r="AC39" s="21">
        <f t="shared" si="41"/>
        <v>10.921595802987564</v>
      </c>
      <c r="AD39" s="21">
        <f t="shared" si="41"/>
        <v>10.798651272663824</v>
      </c>
      <c r="AE39" s="21">
        <f t="shared" si="41"/>
        <v>10.653899236630773</v>
      </c>
      <c r="AF39" s="21">
        <f t="shared" si="41"/>
        <v>10.485369601064196</v>
      </c>
      <c r="AG39" s="21">
        <f t="shared" si="41"/>
        <v>10.29091309586814</v>
      </c>
      <c r="AH39" s="21">
        <f t="shared" si="41"/>
        <v>10.068184421082378</v>
      </c>
      <c r="AI39" s="21">
        <f t="shared" si="41"/>
        <v>9.8146237828393108</v>
      </c>
      <c r="AJ39" s="21">
        <f t="shared" si="41"/>
        <v>9.5274366641425843</v>
      </c>
    </row>
    <row r="40" spans="3:36" x14ac:dyDescent="0.25">
      <c r="E40" s="23"/>
      <c r="F40" s="26">
        <f>F39*12*$C$8</f>
        <v>670.95712687131561</v>
      </c>
      <c r="G40" s="35">
        <f t="shared" ref="G40:AJ40" si="42">G39*12*$C$8</f>
        <v>643.51418113149555</v>
      </c>
      <c r="H40" s="35">
        <f t="shared" si="42"/>
        <v>615.39248985929453</v>
      </c>
      <c r="I40" s="35">
        <f t="shared" si="42"/>
        <v>586.65766095477034</v>
      </c>
      <c r="J40" s="35">
        <f t="shared" si="42"/>
        <v>557.38643245670755</v>
      </c>
      <c r="K40" s="35">
        <f t="shared" si="42"/>
        <v>527.66789271252514</v>
      </c>
      <c r="L40" s="35">
        <f t="shared" si="42"/>
        <v>520.04096479194618</v>
      </c>
      <c r="M40" s="35">
        <f t="shared" si="42"/>
        <v>512.18264623593927</v>
      </c>
      <c r="N40" s="35">
        <f t="shared" si="42"/>
        <v>504.12107515304683</v>
      </c>
      <c r="O40" s="35">
        <f t="shared" si="42"/>
        <v>495.88907436412148</v>
      </c>
      <c r="P40" s="35">
        <f t="shared" si="42"/>
        <v>487.52466503489256</v>
      </c>
      <c r="Q40" s="35">
        <f t="shared" si="42"/>
        <v>491.95072406013929</v>
      </c>
      <c r="R40" s="35">
        <f t="shared" si="42"/>
        <v>496.33556774461977</v>
      </c>
      <c r="S40" s="35">
        <f t="shared" si="42"/>
        <v>500.67524040077251</v>
      </c>
      <c r="T40" s="35">
        <f t="shared" si="42"/>
        <v>504.96563223900739</v>
      </c>
      <c r="U40" s="35">
        <f t="shared" si="42"/>
        <v>509.20247450177044</v>
      </c>
      <c r="V40" s="35">
        <f t="shared" si="42"/>
        <v>513.38133445809194</v>
      </c>
      <c r="W40" s="35">
        <f t="shared" si="42"/>
        <v>517.49761025483235</v>
      </c>
      <c r="X40" s="35">
        <f t="shared" si="42"/>
        <v>521.54652562075171</v>
      </c>
      <c r="Y40" s="35">
        <f t="shared" si="42"/>
        <v>525.52312441940808</v>
      </c>
      <c r="Z40" s="35">
        <f t="shared" si="42"/>
        <v>529.42226504680502</v>
      </c>
      <c r="AA40" s="35">
        <f t="shared" si="42"/>
        <v>533.23861466958829</v>
      </c>
      <c r="AB40" s="35">
        <f t="shared" si="42"/>
        <v>529.1778782131878</v>
      </c>
      <c r="AC40" s="35">
        <f t="shared" si="42"/>
        <v>524.23659854340303</v>
      </c>
      <c r="AD40" s="35">
        <f t="shared" si="42"/>
        <v>518.3352610878635</v>
      </c>
      <c r="AE40" s="35">
        <f t="shared" si="42"/>
        <v>511.38716335827712</v>
      </c>
      <c r="AF40" s="35">
        <f t="shared" si="42"/>
        <v>503.29774085108141</v>
      </c>
      <c r="AG40" s="35">
        <f t="shared" si="42"/>
        <v>493.96382860167068</v>
      </c>
      <c r="AH40" s="35">
        <f t="shared" si="42"/>
        <v>483.27285221195416</v>
      </c>
      <c r="AI40" s="35">
        <f t="shared" si="42"/>
        <v>471.10194157628689</v>
      </c>
      <c r="AJ40" s="35">
        <f t="shared" si="42"/>
        <v>457.31695987884405</v>
      </c>
    </row>
    <row r="41" spans="3:36" x14ac:dyDescent="0.25">
      <c r="E41" s="23"/>
      <c r="F41" s="33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</row>
    <row r="42" spans="3:36" x14ac:dyDescent="0.25">
      <c r="C42" s="22" t="s">
        <v>43</v>
      </c>
      <c r="F42" s="16">
        <v>2020</v>
      </c>
      <c r="G42" s="16">
        <v>2021</v>
      </c>
      <c r="H42" s="16">
        <v>2022</v>
      </c>
      <c r="I42" s="16">
        <v>2023</v>
      </c>
      <c r="J42" s="16">
        <v>2024</v>
      </c>
      <c r="K42" s="16">
        <v>2025</v>
      </c>
      <c r="L42" s="16">
        <v>2026</v>
      </c>
      <c r="M42" s="16">
        <v>2027</v>
      </c>
      <c r="N42" s="16">
        <v>2028</v>
      </c>
      <c r="O42" s="16">
        <v>2029</v>
      </c>
      <c r="P42" s="16">
        <v>2030</v>
      </c>
      <c r="Q42" s="16">
        <v>2031</v>
      </c>
      <c r="R42" s="16">
        <v>2032</v>
      </c>
      <c r="S42" s="16">
        <v>2033</v>
      </c>
      <c r="T42" s="16">
        <v>2034</v>
      </c>
      <c r="U42" s="16">
        <v>2035</v>
      </c>
      <c r="V42" s="16">
        <v>2036</v>
      </c>
      <c r="W42" s="16">
        <v>2037</v>
      </c>
      <c r="X42" s="16">
        <v>2038</v>
      </c>
      <c r="Y42" s="16">
        <v>2039</v>
      </c>
      <c r="Z42" s="16">
        <v>2040</v>
      </c>
      <c r="AA42" s="16">
        <v>2041</v>
      </c>
      <c r="AB42" s="16">
        <v>2042</v>
      </c>
      <c r="AC42" s="16">
        <v>2043</v>
      </c>
      <c r="AD42" s="16">
        <v>2044</v>
      </c>
      <c r="AE42" s="16">
        <v>2045</v>
      </c>
      <c r="AF42" s="16">
        <v>2046</v>
      </c>
      <c r="AG42" s="16">
        <v>2047</v>
      </c>
      <c r="AH42" s="16">
        <v>2048</v>
      </c>
      <c r="AI42" s="16">
        <v>2049</v>
      </c>
      <c r="AJ42" s="16">
        <v>2050</v>
      </c>
    </row>
    <row r="43" spans="3:36" x14ac:dyDescent="0.25">
      <c r="D43" s="16" t="s">
        <v>28</v>
      </c>
      <c r="E43" s="23" t="s">
        <v>29</v>
      </c>
      <c r="F43" s="24">
        <f>'NREL ATB Storage'!AZ10</f>
        <v>246.89946991575823</v>
      </c>
      <c r="G43" s="24">
        <f>'NREL ATB Storage'!BA10</f>
        <v>229.52140538302547</v>
      </c>
      <c r="H43" s="24">
        <f>'NREL ATB Storage'!BB10</f>
        <v>212.14334085029265</v>
      </c>
      <c r="I43" s="24">
        <f>'NREL ATB Storage'!BC10</f>
        <v>194.76527631755985</v>
      </c>
      <c r="J43" s="24">
        <f>'NREL ATB Storage'!BD10</f>
        <v>177.38721178482706</v>
      </c>
      <c r="K43" s="24">
        <f>'NREL ATB Storage'!BE10</f>
        <v>160.00914725209432</v>
      </c>
      <c r="L43" s="24">
        <f>'NREL ATB Storage'!BF10</f>
        <v>151.3062332891277</v>
      </c>
      <c r="M43" s="24">
        <f>'NREL ATB Storage'!BG10</f>
        <v>142.60331932616106</v>
      </c>
      <c r="N43" s="24">
        <f>'NREL ATB Storage'!BH10</f>
        <v>133.90040536319444</v>
      </c>
      <c r="O43" s="24">
        <f>'NREL ATB Storage'!BI10</f>
        <v>125.19749140022778</v>
      </c>
      <c r="P43" s="24">
        <f>'NREL ATB Storage'!BJ10</f>
        <v>116.49457743726111</v>
      </c>
      <c r="Q43" s="24">
        <f>'NREL ATB Storage'!BK10</f>
        <v>114.21533570479296</v>
      </c>
      <c r="R43" s="24">
        <f>'NREL ATB Storage'!BL10</f>
        <v>111.9360939723248</v>
      </c>
      <c r="S43" s="24">
        <f>'NREL ATB Storage'!BM10</f>
        <v>109.65685223985665</v>
      </c>
      <c r="T43" s="24">
        <f>'NREL ATB Storage'!BN10</f>
        <v>107.37761050738848</v>
      </c>
      <c r="U43" s="24">
        <f>'NREL ATB Storage'!BO10</f>
        <v>105.09836877492032</v>
      </c>
      <c r="V43" s="24">
        <f>'NREL ATB Storage'!BP10</f>
        <v>102.81912704245217</v>
      </c>
      <c r="W43" s="24">
        <f>'NREL ATB Storage'!BQ10</f>
        <v>100.539885309984</v>
      </c>
      <c r="X43" s="24">
        <f>'NREL ATB Storage'!BR10</f>
        <v>98.26064357751585</v>
      </c>
      <c r="Y43" s="24">
        <f>'NREL ATB Storage'!BS10</f>
        <v>95.981401845047685</v>
      </c>
      <c r="Z43" s="24">
        <f>'NREL ATB Storage'!BT10</f>
        <v>93.702160112579534</v>
      </c>
      <c r="AA43" s="24">
        <f>'NREL ATB Storage'!BU10</f>
        <v>91.422918380111369</v>
      </c>
      <c r="AB43" s="24">
        <f>'NREL ATB Storage'!BV10</f>
        <v>89.143676647643218</v>
      </c>
      <c r="AC43" s="24">
        <f>'NREL ATB Storage'!BW10</f>
        <v>86.864434915175053</v>
      </c>
      <c r="AD43" s="24">
        <f>'NREL ATB Storage'!BX10</f>
        <v>84.585193182706888</v>
      </c>
      <c r="AE43" s="24">
        <f>'NREL ATB Storage'!BY10</f>
        <v>82.305951450238723</v>
      </c>
      <c r="AF43" s="24">
        <f>'NREL ATB Storage'!BZ10</f>
        <v>80.026709717770572</v>
      </c>
      <c r="AG43" s="24">
        <f>'NREL ATB Storage'!CA10</f>
        <v>77.747467985302421</v>
      </c>
      <c r="AH43" s="24">
        <f>'NREL ATB Storage'!CB10</f>
        <v>75.46822625283427</v>
      </c>
      <c r="AI43" s="24">
        <f>'NREL ATB Storage'!CC10</f>
        <v>73.18898452036612</v>
      </c>
      <c r="AJ43" s="24">
        <f>'NREL ATB Storage'!CD10</f>
        <v>70.909742787898097</v>
      </c>
    </row>
    <row r="44" spans="3:36" x14ac:dyDescent="0.25">
      <c r="D44" s="16" t="s">
        <v>30</v>
      </c>
      <c r="E44" s="16" t="s">
        <v>31</v>
      </c>
      <c r="F44" s="24">
        <f>'NREL ATB Storage'!AZ20</f>
        <v>214.96609998974535</v>
      </c>
      <c r="G44" s="24">
        <f>'NREL ATB Storage'!BA20</f>
        <v>199.83567156376978</v>
      </c>
      <c r="H44" s="24">
        <f>'NREL ATB Storage'!BB20</f>
        <v>184.70524313779424</v>
      </c>
      <c r="I44" s="24">
        <f>'NREL ATB Storage'!BC20</f>
        <v>169.57481471181868</v>
      </c>
      <c r="J44" s="24">
        <f>'NREL ATB Storage'!BD20</f>
        <v>154.44438628584311</v>
      </c>
      <c r="K44" s="24">
        <f>'NREL ATB Storage'!BE20</f>
        <v>139.3139578598676</v>
      </c>
      <c r="L44" s="24">
        <f>'NREL ATB Storage'!BF20</f>
        <v>131.73665737476102</v>
      </c>
      <c r="M44" s="24">
        <f>'NREL ATB Storage'!BG20</f>
        <v>124.15935688965442</v>
      </c>
      <c r="N44" s="24">
        <f>'NREL ATB Storage'!BH20</f>
        <v>116.58205640454783</v>
      </c>
      <c r="O44" s="24">
        <f>'NREL ATB Storage'!BI20</f>
        <v>109.00475591944122</v>
      </c>
      <c r="P44" s="24">
        <f>'NREL ATB Storage'!BJ20</f>
        <v>101.4274554343346</v>
      </c>
      <c r="Q44" s="24">
        <f>'NREL ATB Storage'!BK20</f>
        <v>99.443005219314998</v>
      </c>
      <c r="R44" s="24">
        <f>'NREL ATB Storage'!BL20</f>
        <v>97.45855500429542</v>
      </c>
      <c r="S44" s="24">
        <f>'NREL ATB Storage'!BM20</f>
        <v>95.474104789275813</v>
      </c>
      <c r="T44" s="24">
        <f>'NREL ATB Storage'!BN20</f>
        <v>93.489654574256221</v>
      </c>
      <c r="U44" s="24">
        <f>'NREL ATB Storage'!BO20</f>
        <v>91.505204359236629</v>
      </c>
      <c r="V44" s="24">
        <f>'NREL ATB Storage'!BP20</f>
        <v>89.520754144217037</v>
      </c>
      <c r="W44" s="24">
        <f>'NREL ATB Storage'!BQ20</f>
        <v>87.53630392919743</v>
      </c>
      <c r="X44" s="24">
        <f>'NREL ATB Storage'!BR20</f>
        <v>85.551853714177824</v>
      </c>
      <c r="Y44" s="24">
        <f>'NREL ATB Storage'!BS20</f>
        <v>83.567403499158246</v>
      </c>
      <c r="Z44" s="24">
        <f>'NREL ATB Storage'!BT20</f>
        <v>81.58295328413864</v>
      </c>
      <c r="AA44" s="24">
        <f>'NREL ATB Storage'!BU20</f>
        <v>79.598503069119047</v>
      </c>
      <c r="AB44" s="24">
        <f>'NREL ATB Storage'!BV20</f>
        <v>77.614052854099455</v>
      </c>
      <c r="AC44" s="24">
        <f>'NREL ATB Storage'!BW20</f>
        <v>75.629602639079863</v>
      </c>
      <c r="AD44" s="24">
        <f>'NREL ATB Storage'!BX20</f>
        <v>73.645152424060257</v>
      </c>
      <c r="AE44" s="24">
        <f>'NREL ATB Storage'!BY20</f>
        <v>71.660702209040679</v>
      </c>
      <c r="AF44" s="24">
        <f>'NREL ATB Storage'!BZ20</f>
        <v>69.676251994021072</v>
      </c>
      <c r="AG44" s="24">
        <f>'NREL ATB Storage'!CA20</f>
        <v>67.69180177900148</v>
      </c>
      <c r="AH44" s="24">
        <f>'NREL ATB Storage'!CB20</f>
        <v>65.707351563981902</v>
      </c>
      <c r="AI44" s="24">
        <f>'NREL ATB Storage'!CC20</f>
        <v>63.722901348962303</v>
      </c>
      <c r="AJ44" s="24">
        <f>'NREL ATB Storage'!CD20</f>
        <v>61.738451133942824</v>
      </c>
    </row>
    <row r="45" spans="3:36" x14ac:dyDescent="0.25">
      <c r="D45" s="16" t="s">
        <v>32</v>
      </c>
      <c r="E45" s="16" t="s">
        <v>44</v>
      </c>
      <c r="F45" s="24">
        <f>'NREL ATB Storage'!N17</f>
        <v>30.064099491319457</v>
      </c>
      <c r="G45" s="24">
        <f>'NREL ATB Storage'!O17</f>
        <v>27.948032327396788</v>
      </c>
      <c r="H45" s="24">
        <f>'NREL ATB Storage'!P17</f>
        <v>25.831965163474123</v>
      </c>
      <c r="I45" s="24">
        <f>'NREL ATB Storage'!Q17</f>
        <v>23.715897999551455</v>
      </c>
      <c r="J45" s="24">
        <f>'NREL ATB Storage'!R17</f>
        <v>21.599830835628786</v>
      </c>
      <c r="K45" s="24">
        <f>'NREL ATB Storage'!S17</f>
        <v>19.483763671706125</v>
      </c>
      <c r="L45" s="24">
        <f>'NREL ATB Storage'!T17</f>
        <v>18.424039763281797</v>
      </c>
      <c r="M45" s="24">
        <f>'NREL ATB Storage'!U17</f>
        <v>17.364315854857466</v>
      </c>
      <c r="N45" s="24">
        <f>'NREL ATB Storage'!V17</f>
        <v>16.304591946433142</v>
      </c>
      <c r="O45" s="24">
        <f>'NREL ATB Storage'!W17</f>
        <v>15.244868038008811</v>
      </c>
      <c r="P45" s="24">
        <f>'NREL ATB Storage'!X17</f>
        <v>14.185144129584479</v>
      </c>
      <c r="Q45" s="24">
        <f>'NREL ATB Storage'!Y17</f>
        <v>13.907608700962172</v>
      </c>
      <c r="R45" s="24">
        <f>'NREL ATB Storage'!Z17</f>
        <v>13.630073272339866</v>
      </c>
      <c r="S45" s="24">
        <f>'NREL ATB Storage'!AA17</f>
        <v>13.35253784371756</v>
      </c>
      <c r="T45" s="24">
        <f>'NREL ATB Storage'!AB17</f>
        <v>13.075002415095254</v>
      </c>
      <c r="U45" s="24">
        <f>'NREL ATB Storage'!AC17</f>
        <v>12.797466986472948</v>
      </c>
      <c r="V45" s="24">
        <f>'NREL ATB Storage'!AD17</f>
        <v>12.519931557850644</v>
      </c>
      <c r="W45" s="24">
        <f>'NREL ATB Storage'!AE17</f>
        <v>12.242396129228338</v>
      </c>
      <c r="X45" s="24">
        <f>'NREL ATB Storage'!AF17</f>
        <v>11.964860700606032</v>
      </c>
      <c r="Y45" s="24">
        <f>'NREL ATB Storage'!AG17</f>
        <v>11.687325271983724</v>
      </c>
      <c r="Z45" s="24">
        <f>'NREL ATB Storage'!AH17</f>
        <v>11.40978984336142</v>
      </c>
      <c r="AA45" s="24">
        <f>'NREL ATB Storage'!AI17</f>
        <v>11.132254414739114</v>
      </c>
      <c r="AB45" s="24">
        <f>'NREL ATB Storage'!AJ17</f>
        <v>10.854718986116808</v>
      </c>
      <c r="AC45" s="24">
        <f>'NREL ATB Storage'!AK17</f>
        <v>10.577183557494502</v>
      </c>
      <c r="AD45" s="24">
        <f>'NREL ATB Storage'!AL17</f>
        <v>10.299648128872196</v>
      </c>
      <c r="AE45" s="24">
        <f>'NREL ATB Storage'!AM17</f>
        <v>10.02211270024989</v>
      </c>
      <c r="AF45" s="24">
        <f>'NREL ATB Storage'!AN17</f>
        <v>9.744577271627584</v>
      </c>
      <c r="AG45" s="24">
        <f>'NREL ATB Storage'!AO17</f>
        <v>9.4670418430052798</v>
      </c>
      <c r="AH45" s="24">
        <f>'NREL ATB Storage'!AP17</f>
        <v>9.1895064143829739</v>
      </c>
      <c r="AI45" s="24">
        <f>'NREL ATB Storage'!AQ17</f>
        <v>8.9119709857606697</v>
      </c>
      <c r="AJ45" s="24">
        <f>'NREL ATB Storage'!AR17</f>
        <v>8.6344355571383797</v>
      </c>
    </row>
    <row r="46" spans="3:36" x14ac:dyDescent="0.25">
      <c r="D46" s="16" t="s">
        <v>34</v>
      </c>
      <c r="E46" s="16" t="s">
        <v>35</v>
      </c>
      <c r="F46" s="25">
        <f>'NREL ATB Storage'!N25</f>
        <v>0</v>
      </c>
      <c r="G46" s="25">
        <f>'NREL ATB Storage'!O25</f>
        <v>0</v>
      </c>
      <c r="H46" s="25">
        <f>'NREL ATB Storage'!P25</f>
        <v>0</v>
      </c>
      <c r="I46" s="25">
        <f>'NREL ATB Storage'!Q25</f>
        <v>0</v>
      </c>
      <c r="J46" s="25">
        <f>'NREL ATB Storage'!R25</f>
        <v>0</v>
      </c>
      <c r="K46" s="25">
        <f>'NREL ATB Storage'!S25</f>
        <v>0</v>
      </c>
      <c r="L46" s="25">
        <f>'NREL ATB Storage'!T25</f>
        <v>0</v>
      </c>
      <c r="M46" s="25">
        <f>'NREL ATB Storage'!U25</f>
        <v>0</v>
      </c>
      <c r="N46" s="25">
        <f>'NREL ATB Storage'!V25</f>
        <v>0</v>
      </c>
      <c r="O46" s="25">
        <f>'NREL ATB Storage'!W25</f>
        <v>0</v>
      </c>
      <c r="P46" s="25">
        <f>'NREL ATB Storage'!X25</f>
        <v>0</v>
      </c>
      <c r="Q46" s="25">
        <f>'NREL ATB Storage'!Y25</f>
        <v>0</v>
      </c>
      <c r="R46" s="25">
        <f>'NREL ATB Storage'!Z25</f>
        <v>0</v>
      </c>
      <c r="S46" s="25">
        <f>'NREL ATB Storage'!AA25</f>
        <v>0</v>
      </c>
      <c r="T46" s="25">
        <f>'NREL ATB Storage'!AB25</f>
        <v>0</v>
      </c>
      <c r="U46" s="25">
        <f>'NREL ATB Storage'!AC25</f>
        <v>0</v>
      </c>
      <c r="V46" s="25">
        <f>'NREL ATB Storage'!AD25</f>
        <v>0</v>
      </c>
      <c r="W46" s="25">
        <f>'NREL ATB Storage'!AE25</f>
        <v>0</v>
      </c>
      <c r="X46" s="25">
        <f>'NREL ATB Storage'!AF25</f>
        <v>0</v>
      </c>
      <c r="Y46" s="25">
        <f>'NREL ATB Storage'!AG25</f>
        <v>0</v>
      </c>
      <c r="Z46" s="25">
        <f>'NREL ATB Storage'!AH25</f>
        <v>0</v>
      </c>
      <c r="AA46" s="25">
        <f>'NREL ATB Storage'!AI25</f>
        <v>0</v>
      </c>
      <c r="AB46" s="25">
        <f>'NREL ATB Storage'!AJ25</f>
        <v>0</v>
      </c>
      <c r="AC46" s="25">
        <f>'NREL ATB Storage'!AK25</f>
        <v>0</v>
      </c>
      <c r="AD46" s="25">
        <f>'NREL ATB Storage'!AL25</f>
        <v>0</v>
      </c>
      <c r="AE46" s="25">
        <f>'NREL ATB Storage'!AM25</f>
        <v>0</v>
      </c>
      <c r="AF46" s="25">
        <f>'NREL ATB Storage'!AN25</f>
        <v>0</v>
      </c>
      <c r="AG46" s="25">
        <f>'NREL ATB Storage'!AO25</f>
        <v>0</v>
      </c>
      <c r="AH46" s="25">
        <f>'NREL ATB Storage'!AP25</f>
        <v>0</v>
      </c>
      <c r="AI46" s="25">
        <f>'NREL ATB Storage'!AQ25</f>
        <v>0</v>
      </c>
      <c r="AJ46" s="25">
        <f>'NREL ATB Storage'!AR25</f>
        <v>0</v>
      </c>
    </row>
    <row r="47" spans="3:36" x14ac:dyDescent="0.25">
      <c r="D47" s="16" t="s">
        <v>36</v>
      </c>
      <c r="F47" s="26">
        <f>((F43*$C$7*1000*$C$8)+(F44*1000*$C$8))</f>
        <v>4810255.918611113</v>
      </c>
      <c r="G47" s="26">
        <f>((G43*$C$7*1000*$C$8)+(G44*1000*$C$8))</f>
        <v>4471685.1723834863</v>
      </c>
      <c r="H47" s="26">
        <f t="shared" ref="H47:AJ47" si="43">((H43*$C$7*1000*$C$8)+(H44*1000*$C$8))</f>
        <v>4133114.4261558596</v>
      </c>
      <c r="I47" s="26">
        <f t="shared" si="43"/>
        <v>3794543.6799282325</v>
      </c>
      <c r="J47" s="26">
        <f t="shared" si="43"/>
        <v>3455972.9337006053</v>
      </c>
      <c r="K47" s="26">
        <f t="shared" si="43"/>
        <v>3117402.1874729795</v>
      </c>
      <c r="L47" s="26">
        <f t="shared" si="43"/>
        <v>2947846.3621250875</v>
      </c>
      <c r="M47" s="26">
        <f t="shared" si="43"/>
        <v>2778290.5367771946</v>
      </c>
      <c r="N47" s="26">
        <f t="shared" si="43"/>
        <v>2608734.7114293026</v>
      </c>
      <c r="O47" s="26">
        <f t="shared" si="43"/>
        <v>2439178.8860814092</v>
      </c>
      <c r="P47" s="26">
        <f t="shared" si="43"/>
        <v>2269623.0607335162</v>
      </c>
      <c r="Q47" s="26">
        <f t="shared" si="43"/>
        <v>2225217.3921539476</v>
      </c>
      <c r="R47" s="26">
        <f t="shared" si="43"/>
        <v>2180811.7235743785</v>
      </c>
      <c r="S47" s="26">
        <f t="shared" si="43"/>
        <v>2136406.0549948094</v>
      </c>
      <c r="T47" s="26">
        <f t="shared" si="43"/>
        <v>2092000.3864152406</v>
      </c>
      <c r="U47" s="26">
        <f t="shared" si="43"/>
        <v>2047594.7178356717</v>
      </c>
      <c r="V47" s="26">
        <f t="shared" si="43"/>
        <v>2003189.0492561026</v>
      </c>
      <c r="W47" s="26">
        <f t="shared" si="43"/>
        <v>1958783.3806765338</v>
      </c>
      <c r="X47" s="26">
        <f t="shared" si="43"/>
        <v>1914377.7120969649</v>
      </c>
      <c r="Y47" s="26">
        <f t="shared" si="43"/>
        <v>1869972.0435173959</v>
      </c>
      <c r="Z47" s="26">
        <f t="shared" si="43"/>
        <v>1825566.374937827</v>
      </c>
      <c r="AA47" s="26">
        <f t="shared" si="43"/>
        <v>1781160.7063582581</v>
      </c>
      <c r="AB47" s="26">
        <f t="shared" si="43"/>
        <v>1736755.0377786895</v>
      </c>
      <c r="AC47" s="26">
        <f t="shared" si="43"/>
        <v>1692349.3691991202</v>
      </c>
      <c r="AD47" s="26">
        <f t="shared" si="43"/>
        <v>1647943.7006195514</v>
      </c>
      <c r="AE47" s="26">
        <f t="shared" si="43"/>
        <v>1603538.0320399823</v>
      </c>
      <c r="AF47" s="26">
        <f t="shared" si="43"/>
        <v>1559132.3634604134</v>
      </c>
      <c r="AG47" s="26">
        <f t="shared" si="43"/>
        <v>1514726.6948808448</v>
      </c>
      <c r="AH47" s="26">
        <f t="shared" si="43"/>
        <v>1470321.0263012759</v>
      </c>
      <c r="AI47" s="26">
        <f t="shared" si="43"/>
        <v>1425915.3577217073</v>
      </c>
      <c r="AJ47" s="26">
        <f t="shared" si="43"/>
        <v>1381509.6891421408</v>
      </c>
    </row>
    <row r="48" spans="3:36" x14ac:dyDescent="0.25"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</row>
    <row r="49" spans="3:36" x14ac:dyDescent="0.25">
      <c r="D49" s="16" t="s">
        <v>37</v>
      </c>
      <c r="F49" s="26">
        <f>F47*$C$11</f>
        <v>462205.8437459257</v>
      </c>
      <c r="G49" s="26">
        <f>G47*$C$11</f>
        <v>429673.40055046853</v>
      </c>
      <c r="H49" s="26">
        <f t="shared" ref="H49:AJ49" si="44">H47*$C$11</f>
        <v>397140.95735501131</v>
      </c>
      <c r="I49" s="26">
        <f t="shared" si="44"/>
        <v>364608.51415955403</v>
      </c>
      <c r="J49" s="26">
        <f t="shared" si="44"/>
        <v>332076.07096409675</v>
      </c>
      <c r="K49" s="26">
        <f t="shared" si="44"/>
        <v>299543.62776863965</v>
      </c>
      <c r="L49" s="26">
        <f t="shared" si="44"/>
        <v>283251.41907060693</v>
      </c>
      <c r="M49" s="26">
        <f t="shared" si="44"/>
        <v>266959.21037257416</v>
      </c>
      <c r="N49" s="26">
        <f t="shared" si="44"/>
        <v>250667.00167454148</v>
      </c>
      <c r="O49" s="26">
        <f t="shared" si="44"/>
        <v>234374.79297650864</v>
      </c>
      <c r="P49" s="26">
        <f t="shared" si="44"/>
        <v>218082.58427847584</v>
      </c>
      <c r="Q49" s="26">
        <f t="shared" si="44"/>
        <v>213815.75110781004</v>
      </c>
      <c r="R49" s="26">
        <f t="shared" si="44"/>
        <v>209548.91793714417</v>
      </c>
      <c r="S49" s="26">
        <f t="shared" si="44"/>
        <v>205282.08476647831</v>
      </c>
      <c r="T49" s="26">
        <f t="shared" si="44"/>
        <v>201015.25159581247</v>
      </c>
      <c r="U49" s="26">
        <f t="shared" si="44"/>
        <v>196748.41842514664</v>
      </c>
      <c r="V49" s="26">
        <f t="shared" si="44"/>
        <v>192481.58525448077</v>
      </c>
      <c r="W49" s="26">
        <f t="shared" si="44"/>
        <v>188214.75208381494</v>
      </c>
      <c r="X49" s="26">
        <f t="shared" si="44"/>
        <v>183947.9189131491</v>
      </c>
      <c r="Y49" s="26">
        <f t="shared" si="44"/>
        <v>179681.08574248324</v>
      </c>
      <c r="Z49" s="26">
        <f t="shared" si="44"/>
        <v>175414.2525718174</v>
      </c>
      <c r="AA49" s="26">
        <f t="shared" si="44"/>
        <v>171147.41940115156</v>
      </c>
      <c r="AB49" s="26">
        <f t="shared" si="44"/>
        <v>166880.58623048576</v>
      </c>
      <c r="AC49" s="26">
        <f t="shared" si="44"/>
        <v>162613.75305981986</v>
      </c>
      <c r="AD49" s="26">
        <f t="shared" si="44"/>
        <v>158346.91988915403</v>
      </c>
      <c r="AE49" s="26">
        <f t="shared" si="44"/>
        <v>154080.08671848816</v>
      </c>
      <c r="AF49" s="26">
        <f t="shared" si="44"/>
        <v>149813.25354782233</v>
      </c>
      <c r="AG49" s="26">
        <f t="shared" si="44"/>
        <v>145546.42037715652</v>
      </c>
      <c r="AH49" s="26">
        <f t="shared" si="44"/>
        <v>141279.58720649069</v>
      </c>
      <c r="AI49" s="26">
        <f t="shared" si="44"/>
        <v>137012.75403582488</v>
      </c>
      <c r="AJ49" s="26">
        <f t="shared" si="44"/>
        <v>132745.92086515925</v>
      </c>
    </row>
    <row r="50" spans="3:36" x14ac:dyDescent="0.25">
      <c r="D50" s="16" t="s">
        <v>38</v>
      </c>
      <c r="F50" s="26">
        <f>-PMT($C$5,10,NPV($C$5,G45:O45)+F45)*$C$8*1000</f>
        <v>96837.649080243849</v>
      </c>
      <c r="G50" s="26">
        <f>-PMT($C$5,10,NPV($C$5,H45:P45)+G45)*$C$8*1000</f>
        <v>89630.72500512538</v>
      </c>
      <c r="H50" s="26">
        <f t="shared" ref="H50:AJ50" si="45">-PMT($C$5,10,NPV($C$5,I45:Q45)+H45)*$C$8*1000</f>
        <v>83123.674952105095</v>
      </c>
      <c r="I50" s="26">
        <f t="shared" si="45"/>
        <v>77367.379762589422</v>
      </c>
      <c r="J50" s="26">
        <f t="shared" si="45"/>
        <v>72416.419315155217</v>
      </c>
      <c r="K50" s="26">
        <f t="shared" si="45"/>
        <v>68329.341445551807</v>
      </c>
      <c r="L50" s="26">
        <f t="shared" si="45"/>
        <v>65168.950417187429</v>
      </c>
      <c r="M50" s="26">
        <f t="shared" si="45"/>
        <v>62349.204398554983</v>
      </c>
      <c r="N50" s="26">
        <f t="shared" si="45"/>
        <v>59894.868281861927</v>
      </c>
      <c r="O50" s="26">
        <f t="shared" si="45"/>
        <v>57832.507366979291</v>
      </c>
      <c r="P50" s="26">
        <f t="shared" si="45"/>
        <v>56190.618251078675</v>
      </c>
      <c r="Q50" s="26">
        <f t="shared" si="45"/>
        <v>54999.769233946092</v>
      </c>
      <c r="R50" s="26">
        <f t="shared" si="45"/>
        <v>53808.920216813502</v>
      </c>
      <c r="S50" s="26">
        <f t="shared" si="45"/>
        <v>52618.071199680897</v>
      </c>
      <c r="T50" s="26">
        <f t="shared" si="45"/>
        <v>51427.222182548321</v>
      </c>
      <c r="U50" s="26">
        <f t="shared" si="45"/>
        <v>50236.373165415738</v>
      </c>
      <c r="V50" s="26">
        <f t="shared" si="45"/>
        <v>49045.524148283126</v>
      </c>
      <c r="W50" s="26">
        <f t="shared" si="45"/>
        <v>47854.67513115055</v>
      </c>
      <c r="X50" s="26">
        <f t="shared" si="45"/>
        <v>46663.826114017953</v>
      </c>
      <c r="Y50" s="26">
        <f t="shared" si="45"/>
        <v>45472.97709688537</v>
      </c>
      <c r="Z50" s="26">
        <f t="shared" si="45"/>
        <v>44282.128079752772</v>
      </c>
      <c r="AA50" s="26">
        <f t="shared" si="45"/>
        <v>43091.27906262019</v>
      </c>
      <c r="AB50" s="26">
        <f t="shared" si="45"/>
        <v>39338.044801074058</v>
      </c>
      <c r="AC50" s="26">
        <f t="shared" si="45"/>
        <v>35483.622797202675</v>
      </c>
      <c r="AD50" s="26">
        <f t="shared" si="45"/>
        <v>31520.656702139018</v>
      </c>
      <c r="AE50" s="26">
        <f t="shared" si="45"/>
        <v>27441.25536045339</v>
      </c>
      <c r="AF50" s="26">
        <f t="shared" si="45"/>
        <v>23236.953929716386</v>
      </c>
      <c r="AG50" s="26">
        <f t="shared" si="45"/>
        <v>18898.672173453961</v>
      </c>
      <c r="AH50" s="26">
        <f t="shared" si="45"/>
        <v>14416.669722000415</v>
      </c>
      <c r="AI50" s="26">
        <f t="shared" si="45"/>
        <v>9780.4980808153632</v>
      </c>
      <c r="AJ50" s="26">
        <f t="shared" si="45"/>
        <v>4978.9491498053203</v>
      </c>
    </row>
    <row r="51" spans="3:36" x14ac:dyDescent="0.25">
      <c r="D51" s="16" t="s">
        <v>39</v>
      </c>
      <c r="E51" s="23" t="s">
        <v>40</v>
      </c>
      <c r="F51" s="26">
        <f>SUM(F49:F50)+($C$7*$C$8*$C$10*F46)</f>
        <v>559043.49282616959</v>
      </c>
      <c r="G51" s="26">
        <f>SUM(G49:G50)+($C$7*$C$8*$C$10*G46)</f>
        <v>519304.12555559393</v>
      </c>
      <c r="H51" s="26">
        <f t="shared" ref="H51:AJ51" si="46">SUM(H49:H50)+($C$7*$C$8*$C$10*H46)</f>
        <v>480264.63230711641</v>
      </c>
      <c r="I51" s="26">
        <f t="shared" si="46"/>
        <v>441975.89392214344</v>
      </c>
      <c r="J51" s="26">
        <f t="shared" si="46"/>
        <v>404492.49027925194</v>
      </c>
      <c r="K51" s="26">
        <f t="shared" si="46"/>
        <v>367872.96921419143</v>
      </c>
      <c r="L51" s="26">
        <f t="shared" si="46"/>
        <v>348420.36948779435</v>
      </c>
      <c r="M51" s="26">
        <f t="shared" si="46"/>
        <v>329308.41477112914</v>
      </c>
      <c r="N51" s="26">
        <f t="shared" si="46"/>
        <v>310561.86995640339</v>
      </c>
      <c r="O51" s="26">
        <f t="shared" si="46"/>
        <v>292207.30034348794</v>
      </c>
      <c r="P51" s="26">
        <f t="shared" si="46"/>
        <v>274273.20252955449</v>
      </c>
      <c r="Q51" s="26">
        <f t="shared" si="46"/>
        <v>268815.52034175611</v>
      </c>
      <c r="R51" s="26">
        <f t="shared" si="46"/>
        <v>263357.83815395768</v>
      </c>
      <c r="S51" s="26">
        <f t="shared" si="46"/>
        <v>257900.15596615919</v>
      </c>
      <c r="T51" s="26">
        <f t="shared" si="46"/>
        <v>252442.47377836079</v>
      </c>
      <c r="U51" s="26">
        <f t="shared" si="46"/>
        <v>246984.79159056238</v>
      </c>
      <c r="V51" s="26">
        <f t="shared" si="46"/>
        <v>241527.10940276389</v>
      </c>
      <c r="W51" s="26">
        <f t="shared" si="46"/>
        <v>236069.42721496549</v>
      </c>
      <c r="X51" s="26">
        <f t="shared" si="46"/>
        <v>230611.74502716705</v>
      </c>
      <c r="Y51" s="26">
        <f t="shared" si="46"/>
        <v>225154.06283936859</v>
      </c>
      <c r="Z51" s="26">
        <f t="shared" si="46"/>
        <v>219696.38065157016</v>
      </c>
      <c r="AA51" s="26">
        <f t="shared" si="46"/>
        <v>214238.69846377175</v>
      </c>
      <c r="AB51" s="26">
        <f t="shared" si="46"/>
        <v>206218.63103155981</v>
      </c>
      <c r="AC51" s="26">
        <f t="shared" si="46"/>
        <v>198097.37585702253</v>
      </c>
      <c r="AD51" s="26">
        <f t="shared" si="46"/>
        <v>189867.57659129304</v>
      </c>
      <c r="AE51" s="26">
        <f t="shared" si="46"/>
        <v>181521.34207894155</v>
      </c>
      <c r="AF51" s="26">
        <f t="shared" si="46"/>
        <v>173050.20747753873</v>
      </c>
      <c r="AG51" s="26">
        <f t="shared" si="46"/>
        <v>164445.09255061048</v>
      </c>
      <c r="AH51" s="26">
        <f t="shared" si="46"/>
        <v>155696.25692849112</v>
      </c>
      <c r="AI51" s="26">
        <f t="shared" si="46"/>
        <v>146793.25211664024</v>
      </c>
      <c r="AJ51" s="26">
        <f t="shared" si="46"/>
        <v>137724.87001496457</v>
      </c>
    </row>
    <row r="52" spans="3:36" x14ac:dyDescent="0.25">
      <c r="D52" s="16" t="s">
        <v>41</v>
      </c>
      <c r="E52" s="23" t="s">
        <v>42</v>
      </c>
      <c r="F52" s="27">
        <f>F51/$C$8/12/1000</f>
        <v>11.646739433878533</v>
      </c>
      <c r="G52" s="27">
        <f>G51/$C$8/12/1000</f>
        <v>10.818835949074874</v>
      </c>
      <c r="H52" s="27">
        <f t="shared" ref="H52:AJ52" si="47">H51/$C$8/12/1000</f>
        <v>10.005513173064925</v>
      </c>
      <c r="I52" s="27">
        <f t="shared" si="47"/>
        <v>9.2078311233779875</v>
      </c>
      <c r="J52" s="27">
        <f t="shared" si="47"/>
        <v>8.4269268808177493</v>
      </c>
      <c r="K52" s="27">
        <f t="shared" si="47"/>
        <v>7.6640201919623214</v>
      </c>
      <c r="L52" s="27">
        <f t="shared" si="47"/>
        <v>7.2587576976623822</v>
      </c>
      <c r="M52" s="27">
        <f t="shared" si="47"/>
        <v>6.860591974398524</v>
      </c>
      <c r="N52" s="27">
        <f t="shared" si="47"/>
        <v>6.4700389574250705</v>
      </c>
      <c r="O52" s="27">
        <f t="shared" si="47"/>
        <v>6.0876520904893319</v>
      </c>
      <c r="P52" s="27">
        <f t="shared" si="47"/>
        <v>5.7140250526990517</v>
      </c>
      <c r="Q52" s="27">
        <f t="shared" si="47"/>
        <v>5.6003233404532518</v>
      </c>
      <c r="R52" s="27">
        <f t="shared" si="47"/>
        <v>5.4866216282074518</v>
      </c>
      <c r="S52" s="27">
        <f t="shared" si="47"/>
        <v>5.3729199159616501</v>
      </c>
      <c r="T52" s="27">
        <f t="shared" si="47"/>
        <v>5.2592182037158501</v>
      </c>
      <c r="U52" s="27">
        <f t="shared" si="47"/>
        <v>5.1455164914700502</v>
      </c>
      <c r="V52" s="27">
        <f t="shared" si="47"/>
        <v>5.0318147792242476</v>
      </c>
      <c r="W52" s="27">
        <f t="shared" si="47"/>
        <v>4.9181130669784476</v>
      </c>
      <c r="X52" s="27">
        <f t="shared" si="47"/>
        <v>4.8044113547326468</v>
      </c>
      <c r="Y52" s="27">
        <f t="shared" si="47"/>
        <v>4.690709642486846</v>
      </c>
      <c r="Z52" s="27">
        <f t="shared" si="47"/>
        <v>4.5770079302410451</v>
      </c>
      <c r="AA52" s="27">
        <f t="shared" si="47"/>
        <v>4.4633062179952452</v>
      </c>
      <c r="AB52" s="27">
        <f t="shared" si="47"/>
        <v>4.2962214798241627</v>
      </c>
      <c r="AC52" s="27">
        <f t="shared" si="47"/>
        <v>4.1270286636879687</v>
      </c>
      <c r="AD52" s="27">
        <f t="shared" si="47"/>
        <v>3.9555745123186048</v>
      </c>
      <c r="AE52" s="27">
        <f t="shared" si="47"/>
        <v>3.7816946266446156</v>
      </c>
      <c r="AF52" s="27">
        <f t="shared" si="47"/>
        <v>3.605212655782057</v>
      </c>
      <c r="AG52" s="27">
        <f t="shared" si="47"/>
        <v>3.4259394281377187</v>
      </c>
      <c r="AH52" s="27">
        <f t="shared" si="47"/>
        <v>3.2436720193435651</v>
      </c>
      <c r="AI52" s="27">
        <f t="shared" si="47"/>
        <v>3.058192752430005</v>
      </c>
      <c r="AJ52" s="27">
        <f t="shared" si="47"/>
        <v>2.8692681253117622</v>
      </c>
    </row>
    <row r="53" spans="3:36" x14ac:dyDescent="0.25">
      <c r="D53" s="16" t="s">
        <v>46</v>
      </c>
      <c r="F53" s="21">
        <f>F52*(1+$C$13)^(F$18-2018)</f>
        <v>12.164832990855185</v>
      </c>
      <c r="G53" s="21">
        <f>G52*(1+$C$13)^(G$18-2018)</f>
        <v>11.548703270477057</v>
      </c>
      <c r="H53" s="21">
        <f t="shared" ref="H53" si="48">H52*(1+$C$13)^(H$18-2018)</f>
        <v>10.915482841217781</v>
      </c>
      <c r="I53" s="21">
        <f t="shared" ref="I53" si="49">I52*(1+$C$13)^(I$18-2018)</f>
        <v>10.266249731846944</v>
      </c>
      <c r="J53" s="21">
        <f t="shared" ref="J53" si="50">J52*(1+$C$13)^(J$18-2018)</f>
        <v>9.6022851889928429</v>
      </c>
      <c r="K53" s="21">
        <f t="shared" ref="K53" si="51">K52*(1+$C$13)^(K$18-2018)</f>
        <v>8.9250963023458301</v>
      </c>
      <c r="L53" s="21">
        <f t="shared" ref="L53" si="52">L52*(1+$C$13)^(L$18-2018)</f>
        <v>8.6391191934989955</v>
      </c>
      <c r="M53" s="21">
        <f t="shared" ref="M53" si="53">M52*(1+$C$13)^(M$18-2018)</f>
        <v>8.3448714928181147</v>
      </c>
      <c r="N53" s="21">
        <f t="shared" ref="N53" si="54">N52*(1+$C$13)^(N$18-2018)</f>
        <v>8.0429589778144486</v>
      </c>
      <c r="O53" s="21">
        <f t="shared" ref="O53" si="55">O52*(1+$C$13)^(O$18-2018)</f>
        <v>7.7340981340392263</v>
      </c>
      <c r="P53" s="21">
        <f t="shared" ref="P53" si="56">P52*(1+$C$13)^(P$18-2018)</f>
        <v>7.4191284418911723</v>
      </c>
      <c r="Q53" s="21">
        <f t="shared" ref="Q53" si="57">Q52*(1+$C$13)^(Q$18-2018)</f>
        <v>7.4314703186018658</v>
      </c>
      <c r="R53" s="21">
        <f t="shared" ref="R53" si="58">R52*(1+$C$13)^(R$18-2018)</f>
        <v>7.4407643797219523</v>
      </c>
      <c r="S53" s="21">
        <f t="shared" ref="S53" si="59">S52*(1+$C$13)^(S$18-2018)</f>
        <v>7.4468705478971193</v>
      </c>
      <c r="T53" s="21">
        <f t="shared" ref="T53" si="60">T52*(1+$C$13)^(T$18-2018)</f>
        <v>7.4496440575122094</v>
      </c>
      <c r="U53" s="21">
        <f t="shared" ref="U53" si="61">U52*(1+$C$13)^(U$18-2018)</f>
        <v>7.4489353162051817</v>
      </c>
      <c r="V53" s="21">
        <f t="shared" ref="V53" si="62">V52*(1+$C$13)^(V$18-2018)</f>
        <v>7.444589762556804</v>
      </c>
      <c r="W53" s="21">
        <f t="shared" ref="W53" si="63">W52*(1+$C$13)^(W$18-2018)</f>
        <v>7.4364477198548604</v>
      </c>
      <c r="X53" s="21">
        <f t="shared" ref="X53" si="64">X52*(1+$C$13)^(X$18-2018)</f>
        <v>7.4243442458289515</v>
      </c>
      <c r="Y53" s="21">
        <f t="shared" ref="Y53" si="65">Y52*(1+$C$13)^(Y$18-2018)</f>
        <v>7.4081089782494924</v>
      </c>
      <c r="Z53" s="21">
        <f t="shared" ref="Z53" si="66">Z52*(1+$C$13)^(Z$18-2018)</f>
        <v>7.3875659762815555</v>
      </c>
      <c r="AA53" s="21">
        <f t="shared" ref="AA53" si="67">AA52*(1+$C$13)^(AA$18-2018)</f>
        <v>7.3625335574815578</v>
      </c>
      <c r="AB53" s="21">
        <f t="shared" ref="AB53" si="68">AB52*(1+$C$13)^(AB$18-2018)</f>
        <v>7.2428278237295807</v>
      </c>
      <c r="AC53" s="21">
        <f t="shared" ref="AC53" si="69">AC52*(1+$C$13)^(AC$18-2018)</f>
        <v>7.1106594608577307</v>
      </c>
      <c r="AD53" s="21">
        <f t="shared" ref="AD53" si="70">AD52*(1+$C$13)^(AD$18-2018)</f>
        <v>6.9651882806890439</v>
      </c>
      <c r="AE53" s="21">
        <f t="shared" ref="AE53" si="71">AE52*(1+$C$13)^(AE$18-2018)</f>
        <v>6.8055094760312871</v>
      </c>
      <c r="AF53" s="21">
        <f t="shared" ref="AF53" si="72">AF52*(1+$C$13)^(AF$18-2018)</f>
        <v>6.6306479404726026</v>
      </c>
      <c r="AG53" s="21">
        <f t="shared" ref="AG53" si="73">AG52*(1+$C$13)^(AG$18-2018)</f>
        <v>6.4395520571651801</v>
      </c>
      <c r="AH53" s="21">
        <f t="shared" ref="AH53" si="74">AH52*(1+$C$13)^(AH$18-2018)</f>
        <v>6.2310869059017628</v>
      </c>
      <c r="AI53" s="21">
        <f t="shared" ref="AI53" si="75">AI52*(1+$C$13)^(AI$18-2018)</f>
        <v>6.0040268329194753</v>
      </c>
      <c r="AJ53" s="21">
        <f t="shared" ref="AJ53" si="76">AJ52*(1+$C$13)^(AJ$18-2018)</f>
        <v>5.7570473225264811</v>
      </c>
    </row>
    <row r="54" spans="3:36" x14ac:dyDescent="0.25">
      <c r="E54" s="23"/>
      <c r="F54" s="26">
        <f>F53*12*$C$8</f>
        <v>583.91198356104883</v>
      </c>
      <c r="G54" s="26">
        <f>G53*12*$C$8</f>
        <v>554.33775698289878</v>
      </c>
      <c r="H54" s="26">
        <f>H53*12*$C$8</f>
        <v>523.94317637845347</v>
      </c>
      <c r="I54" s="26">
        <f t="shared" ref="I54:AJ54" si="77">I53*12*$C$8</f>
        <v>492.77998712865332</v>
      </c>
      <c r="J54" s="26">
        <f t="shared" si="77"/>
        <v>460.90968907165643</v>
      </c>
      <c r="K54" s="26">
        <f t="shared" si="77"/>
        <v>428.40462251259987</v>
      </c>
      <c r="L54" s="26">
        <f t="shared" si="77"/>
        <v>414.67772128795178</v>
      </c>
      <c r="M54" s="26">
        <f t="shared" si="77"/>
        <v>400.55383165526951</v>
      </c>
      <c r="N54" s="26">
        <f t="shared" si="77"/>
        <v>386.0620309350935</v>
      </c>
      <c r="O54" s="26">
        <f t="shared" si="77"/>
        <v>371.23671043388288</v>
      </c>
      <c r="P54" s="26">
        <f t="shared" si="77"/>
        <v>356.11816521077628</v>
      </c>
      <c r="Q54" s="26">
        <f t="shared" si="77"/>
        <v>356.71057529288953</v>
      </c>
      <c r="R54" s="26">
        <f t="shared" si="77"/>
        <v>357.15669022665372</v>
      </c>
      <c r="S54" s="26">
        <f t="shared" si="77"/>
        <v>357.44978629906171</v>
      </c>
      <c r="T54" s="26">
        <f t="shared" si="77"/>
        <v>357.58291476058605</v>
      </c>
      <c r="U54" s="26">
        <f t="shared" si="77"/>
        <v>357.54889517784875</v>
      </c>
      <c r="V54" s="26">
        <f t="shared" si="77"/>
        <v>357.34030860272662</v>
      </c>
      <c r="W54" s="26">
        <f t="shared" si="77"/>
        <v>356.94949055303329</v>
      </c>
      <c r="X54" s="26">
        <f t="shared" si="77"/>
        <v>356.36852379978967</v>
      </c>
      <c r="Y54" s="26">
        <f t="shared" si="77"/>
        <v>355.58923095597561</v>
      </c>
      <c r="Z54" s="26">
        <f t="shared" si="77"/>
        <v>354.60316686151464</v>
      </c>
      <c r="AA54" s="26">
        <f t="shared" si="77"/>
        <v>353.40161075911476</v>
      </c>
      <c r="AB54" s="26">
        <f t="shared" si="77"/>
        <v>347.65573553901987</v>
      </c>
      <c r="AC54" s="26">
        <f t="shared" si="77"/>
        <v>341.31165412117105</v>
      </c>
      <c r="AD54" s="26">
        <f t="shared" si="77"/>
        <v>334.3290374730741</v>
      </c>
      <c r="AE54" s="26">
        <f t="shared" si="77"/>
        <v>326.66445484950179</v>
      </c>
      <c r="AF54" s="26">
        <f t="shared" si="77"/>
        <v>318.27110114268493</v>
      </c>
      <c r="AG54" s="26">
        <f t="shared" si="77"/>
        <v>309.09849874392864</v>
      </c>
      <c r="AH54" s="26">
        <f t="shared" si="77"/>
        <v>299.09217148328463</v>
      </c>
      <c r="AI54" s="26">
        <f t="shared" si="77"/>
        <v>288.19328798013481</v>
      </c>
      <c r="AJ54" s="26">
        <f t="shared" si="77"/>
        <v>276.33827148127108</v>
      </c>
    </row>
    <row r="55" spans="3:36" x14ac:dyDescent="0.25">
      <c r="E55" s="23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</row>
    <row r="56" spans="3:36" x14ac:dyDescent="0.25">
      <c r="C56" s="22" t="s">
        <v>51</v>
      </c>
      <c r="E56" s="23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</row>
    <row r="57" spans="3:36" x14ac:dyDescent="0.25">
      <c r="D57" s="16" t="s">
        <v>36</v>
      </c>
      <c r="F57" s="26">
        <f>F47*0.93</f>
        <v>4473538.0043083355</v>
      </c>
      <c r="G57" s="26">
        <f t="shared" ref="G57:AJ57" si="78">G47*0.93</f>
        <v>4158667.2103166427</v>
      </c>
      <c r="H57" s="26">
        <f t="shared" si="78"/>
        <v>3843796.4163249498</v>
      </c>
      <c r="I57" s="26">
        <f t="shared" si="78"/>
        <v>3528925.6223332565</v>
      </c>
      <c r="J57" s="26">
        <f t="shared" si="78"/>
        <v>3214054.8283415632</v>
      </c>
      <c r="K57" s="26">
        <f t="shared" si="78"/>
        <v>2899184.0343498713</v>
      </c>
      <c r="L57" s="26">
        <f t="shared" si="78"/>
        <v>2741497.1167763313</v>
      </c>
      <c r="M57" s="26">
        <f t="shared" si="78"/>
        <v>2583810.1992027913</v>
      </c>
      <c r="N57" s="26">
        <f t="shared" si="78"/>
        <v>2426123.2816292513</v>
      </c>
      <c r="O57" s="26">
        <f t="shared" si="78"/>
        <v>2268436.3640557108</v>
      </c>
      <c r="P57" s="26">
        <f t="shared" si="78"/>
        <v>2110749.4464821704</v>
      </c>
      <c r="Q57" s="26">
        <f t="shared" si="78"/>
        <v>2069452.1747031715</v>
      </c>
      <c r="R57" s="26">
        <f t="shared" si="78"/>
        <v>2028154.9029241721</v>
      </c>
      <c r="S57" s="26">
        <f t="shared" si="78"/>
        <v>1986857.631145173</v>
      </c>
      <c r="T57" s="26">
        <f t="shared" si="78"/>
        <v>1945560.3593661739</v>
      </c>
      <c r="U57" s="26">
        <f t="shared" si="78"/>
        <v>1904263.0875871747</v>
      </c>
      <c r="V57" s="26">
        <f t="shared" si="78"/>
        <v>1862965.8158081756</v>
      </c>
      <c r="W57" s="26">
        <f t="shared" si="78"/>
        <v>1821668.5440291765</v>
      </c>
      <c r="X57" s="26">
        <f t="shared" si="78"/>
        <v>1780371.2722501776</v>
      </c>
      <c r="Y57" s="26">
        <f t="shared" si="78"/>
        <v>1739074.0004711782</v>
      </c>
      <c r="Z57" s="26">
        <f t="shared" si="78"/>
        <v>1697776.7286921793</v>
      </c>
      <c r="AA57" s="26">
        <f t="shared" si="78"/>
        <v>1656479.4569131802</v>
      </c>
      <c r="AB57" s="26">
        <f t="shared" si="78"/>
        <v>1615182.1851341813</v>
      </c>
      <c r="AC57" s="26">
        <f t="shared" si="78"/>
        <v>1573884.9133551819</v>
      </c>
      <c r="AD57" s="26">
        <f t="shared" si="78"/>
        <v>1532587.6415761828</v>
      </c>
      <c r="AE57" s="26">
        <f t="shared" si="78"/>
        <v>1491290.3697971837</v>
      </c>
      <c r="AF57" s="26">
        <f t="shared" si="78"/>
        <v>1449993.0980181845</v>
      </c>
      <c r="AG57" s="26">
        <f t="shared" si="78"/>
        <v>1408695.8262391856</v>
      </c>
      <c r="AH57" s="26">
        <f t="shared" si="78"/>
        <v>1367398.5544601867</v>
      </c>
      <c r="AI57" s="26">
        <f t="shared" si="78"/>
        <v>1326101.2826811878</v>
      </c>
      <c r="AJ57" s="26">
        <f t="shared" si="78"/>
        <v>1284804.010902191</v>
      </c>
    </row>
    <row r="58" spans="3:36" x14ac:dyDescent="0.25"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</row>
    <row r="59" spans="3:36" x14ac:dyDescent="0.25">
      <c r="D59" s="16" t="s">
        <v>37</v>
      </c>
      <c r="F59" s="26">
        <f>F57*$C$11</f>
        <v>429851.43468371098</v>
      </c>
      <c r="G59" s="26">
        <f t="shared" ref="G59:AJ59" si="79">G57*$C$11</f>
        <v>399596.26251193573</v>
      </c>
      <c r="H59" s="26">
        <f t="shared" si="79"/>
        <v>369341.09034016053</v>
      </c>
      <c r="I59" s="26">
        <f t="shared" si="79"/>
        <v>339085.91816838528</v>
      </c>
      <c r="J59" s="26">
        <f t="shared" si="79"/>
        <v>308830.74599661003</v>
      </c>
      <c r="K59" s="26">
        <f t="shared" si="79"/>
        <v>278575.57382483489</v>
      </c>
      <c r="L59" s="26">
        <f t="shared" si="79"/>
        <v>263423.81973566447</v>
      </c>
      <c r="M59" s="26">
        <f t="shared" si="79"/>
        <v>248272.06564649401</v>
      </c>
      <c r="N59" s="26">
        <f t="shared" si="79"/>
        <v>233120.31155732356</v>
      </c>
      <c r="O59" s="26">
        <f t="shared" si="79"/>
        <v>217968.55746815307</v>
      </c>
      <c r="P59" s="26">
        <f t="shared" si="79"/>
        <v>202816.80337898256</v>
      </c>
      <c r="Q59" s="26">
        <f t="shared" si="79"/>
        <v>198848.64853026334</v>
      </c>
      <c r="R59" s="26">
        <f t="shared" si="79"/>
        <v>194880.49368154409</v>
      </c>
      <c r="S59" s="26">
        <f t="shared" si="79"/>
        <v>190912.33883282484</v>
      </c>
      <c r="T59" s="26">
        <f t="shared" si="79"/>
        <v>186944.18398410562</v>
      </c>
      <c r="U59" s="26">
        <f t="shared" si="79"/>
        <v>182976.02913538637</v>
      </c>
      <c r="V59" s="26">
        <f t="shared" si="79"/>
        <v>179007.87428666712</v>
      </c>
      <c r="W59" s="26">
        <f t="shared" si="79"/>
        <v>175039.7194379479</v>
      </c>
      <c r="X59" s="26">
        <f t="shared" si="79"/>
        <v>171071.56458922868</v>
      </c>
      <c r="Y59" s="26">
        <f t="shared" si="79"/>
        <v>167103.40974050944</v>
      </c>
      <c r="Z59" s="26">
        <f t="shared" si="79"/>
        <v>163135.25489179022</v>
      </c>
      <c r="AA59" s="26">
        <f t="shared" si="79"/>
        <v>159167.10004307097</v>
      </c>
      <c r="AB59" s="26">
        <f t="shared" si="79"/>
        <v>155198.94519435175</v>
      </c>
      <c r="AC59" s="26">
        <f t="shared" si="79"/>
        <v>151230.7903456325</v>
      </c>
      <c r="AD59" s="26">
        <f t="shared" si="79"/>
        <v>147262.63549691325</v>
      </c>
      <c r="AE59" s="26">
        <f t="shared" si="79"/>
        <v>143294.480648194</v>
      </c>
      <c r="AF59" s="26">
        <f t="shared" si="79"/>
        <v>139326.32579947478</v>
      </c>
      <c r="AG59" s="26">
        <f t="shared" si="79"/>
        <v>135358.17095075556</v>
      </c>
      <c r="AH59" s="26">
        <f t="shared" si="79"/>
        <v>131390.01610203634</v>
      </c>
      <c r="AI59" s="26">
        <f t="shared" si="79"/>
        <v>127421.86125331714</v>
      </c>
      <c r="AJ59" s="26">
        <f t="shared" si="79"/>
        <v>123453.70640459812</v>
      </c>
    </row>
    <row r="60" spans="3:36" x14ac:dyDescent="0.25">
      <c r="D60" s="16" t="s">
        <v>38</v>
      </c>
      <c r="F60" s="26">
        <f>-PMT($C$5,10,NPV($C$5,G45:O45)+F45)*$C$8*1000</f>
        <v>96837.649080243849</v>
      </c>
      <c r="G60" s="26">
        <f t="shared" ref="G60:AJ60" si="80">-PMT($C$5,10,NPV($C$5,H45:P45)+G45)*$C$8*1000</f>
        <v>89630.72500512538</v>
      </c>
      <c r="H60" s="26">
        <f t="shared" si="80"/>
        <v>83123.674952105095</v>
      </c>
      <c r="I60" s="26">
        <f t="shared" si="80"/>
        <v>77367.379762589422</v>
      </c>
      <c r="J60" s="26">
        <f t="shared" si="80"/>
        <v>72416.419315155217</v>
      </c>
      <c r="K60" s="26">
        <f t="shared" si="80"/>
        <v>68329.341445551807</v>
      </c>
      <c r="L60" s="26">
        <f t="shared" si="80"/>
        <v>65168.950417187429</v>
      </c>
      <c r="M60" s="26">
        <f t="shared" si="80"/>
        <v>62349.204398554983</v>
      </c>
      <c r="N60" s="26">
        <f t="shared" si="80"/>
        <v>59894.868281861927</v>
      </c>
      <c r="O60" s="26">
        <f t="shared" si="80"/>
        <v>57832.507366979291</v>
      </c>
      <c r="P60" s="26">
        <f t="shared" si="80"/>
        <v>56190.618251078675</v>
      </c>
      <c r="Q60" s="26">
        <f t="shared" si="80"/>
        <v>54999.769233946092</v>
      </c>
      <c r="R60" s="26">
        <f t="shared" si="80"/>
        <v>53808.920216813502</v>
      </c>
      <c r="S60" s="26">
        <f t="shared" si="80"/>
        <v>52618.071199680897</v>
      </c>
      <c r="T60" s="26">
        <f t="shared" si="80"/>
        <v>51427.222182548321</v>
      </c>
      <c r="U60" s="26">
        <f t="shared" si="80"/>
        <v>50236.373165415738</v>
      </c>
      <c r="V60" s="26">
        <f t="shared" si="80"/>
        <v>49045.524148283126</v>
      </c>
      <c r="W60" s="26">
        <f t="shared" si="80"/>
        <v>47854.67513115055</v>
      </c>
      <c r="X60" s="26">
        <f t="shared" si="80"/>
        <v>46663.826114017953</v>
      </c>
      <c r="Y60" s="26">
        <f t="shared" si="80"/>
        <v>45472.97709688537</v>
      </c>
      <c r="Z60" s="26">
        <f t="shared" si="80"/>
        <v>44282.128079752772</v>
      </c>
      <c r="AA60" s="26">
        <f t="shared" si="80"/>
        <v>43091.27906262019</v>
      </c>
      <c r="AB60" s="26">
        <f t="shared" si="80"/>
        <v>39338.044801074058</v>
      </c>
      <c r="AC60" s="26">
        <f t="shared" si="80"/>
        <v>35483.622797202675</v>
      </c>
      <c r="AD60" s="26">
        <f t="shared" si="80"/>
        <v>31520.656702139018</v>
      </c>
      <c r="AE60" s="26">
        <f t="shared" si="80"/>
        <v>27441.25536045339</v>
      </c>
      <c r="AF60" s="26">
        <f t="shared" si="80"/>
        <v>23236.953929716386</v>
      </c>
      <c r="AG60" s="26">
        <f t="shared" si="80"/>
        <v>18898.672173453961</v>
      </c>
      <c r="AH60" s="26">
        <f t="shared" si="80"/>
        <v>14416.669722000415</v>
      </c>
      <c r="AI60" s="26">
        <f t="shared" si="80"/>
        <v>9780.4980808153632</v>
      </c>
      <c r="AJ60" s="26">
        <f t="shared" si="80"/>
        <v>4978.9491498053203</v>
      </c>
    </row>
    <row r="61" spans="3:36" x14ac:dyDescent="0.25">
      <c r="D61" s="16" t="s">
        <v>39</v>
      </c>
      <c r="E61" s="23" t="s">
        <v>40</v>
      </c>
      <c r="F61" s="26">
        <f>SUM(F59:F60)+($C$7*$C$8*$C$10*F46)</f>
        <v>526689.08376395481</v>
      </c>
      <c r="G61" s="26">
        <f t="shared" ref="G61:AJ61" si="81">SUM(G59:G60)+($C$7*$C$8*$C$10*G46)</f>
        <v>489226.98751706112</v>
      </c>
      <c r="H61" s="26">
        <f t="shared" si="81"/>
        <v>452464.76529226563</v>
      </c>
      <c r="I61" s="26">
        <f t="shared" si="81"/>
        <v>416453.29793097469</v>
      </c>
      <c r="J61" s="26">
        <f t="shared" si="81"/>
        <v>381247.16531176527</v>
      </c>
      <c r="K61" s="26">
        <f t="shared" si="81"/>
        <v>346904.91527038673</v>
      </c>
      <c r="L61" s="26">
        <f t="shared" si="81"/>
        <v>328592.77015285188</v>
      </c>
      <c r="M61" s="26">
        <f t="shared" si="81"/>
        <v>310621.27004504902</v>
      </c>
      <c r="N61" s="26">
        <f t="shared" si="81"/>
        <v>293015.1798391855</v>
      </c>
      <c r="O61" s="26">
        <f t="shared" si="81"/>
        <v>275801.06483513233</v>
      </c>
      <c r="P61" s="26">
        <f t="shared" si="81"/>
        <v>259007.42163006123</v>
      </c>
      <c r="Q61" s="26">
        <f t="shared" si="81"/>
        <v>253848.41776420944</v>
      </c>
      <c r="R61" s="26">
        <f t="shared" si="81"/>
        <v>248689.4138983576</v>
      </c>
      <c r="S61" s="26">
        <f t="shared" si="81"/>
        <v>243530.41003250575</v>
      </c>
      <c r="T61" s="26">
        <f t="shared" si="81"/>
        <v>238371.40616665393</v>
      </c>
      <c r="U61" s="26">
        <f t="shared" si="81"/>
        <v>233212.40230080212</v>
      </c>
      <c r="V61" s="26">
        <f t="shared" si="81"/>
        <v>228053.39843495024</v>
      </c>
      <c r="W61" s="26">
        <f t="shared" si="81"/>
        <v>222894.39456909845</v>
      </c>
      <c r="X61" s="26">
        <f t="shared" si="81"/>
        <v>217735.39070324664</v>
      </c>
      <c r="Y61" s="26">
        <f t="shared" si="81"/>
        <v>212576.38683739479</v>
      </c>
      <c r="Z61" s="26">
        <f t="shared" si="81"/>
        <v>207417.382971543</v>
      </c>
      <c r="AA61" s="26">
        <f t="shared" si="81"/>
        <v>202258.37910569116</v>
      </c>
      <c r="AB61" s="26">
        <f t="shared" si="81"/>
        <v>194536.9899954258</v>
      </c>
      <c r="AC61" s="26">
        <f t="shared" si="81"/>
        <v>186714.41314283517</v>
      </c>
      <c r="AD61" s="26">
        <f t="shared" si="81"/>
        <v>178783.29219905226</v>
      </c>
      <c r="AE61" s="26">
        <f t="shared" si="81"/>
        <v>170735.73600864739</v>
      </c>
      <c r="AF61" s="26">
        <f t="shared" si="81"/>
        <v>162563.27972919116</v>
      </c>
      <c r="AG61" s="26">
        <f t="shared" si="81"/>
        <v>154256.84312420952</v>
      </c>
      <c r="AH61" s="26">
        <f t="shared" si="81"/>
        <v>145806.68582403677</v>
      </c>
      <c r="AI61" s="26">
        <f t="shared" si="81"/>
        <v>137202.35933413252</v>
      </c>
      <c r="AJ61" s="26">
        <f t="shared" si="81"/>
        <v>128432.65555440345</v>
      </c>
    </row>
    <row r="62" spans="3:36" x14ac:dyDescent="0.25">
      <c r="D62" s="16" t="s">
        <v>41</v>
      </c>
      <c r="E62" s="23" t="s">
        <v>42</v>
      </c>
      <c r="F62" s="27">
        <f>F61/$C$8/12/1000</f>
        <v>10.972689245082393</v>
      </c>
      <c r="G62" s="27">
        <f>G61/$C$8/12/1000</f>
        <v>10.19222890660544</v>
      </c>
      <c r="H62" s="27">
        <f t="shared" ref="H62:AJ62" si="82">H61/$C$8/12/1000</f>
        <v>9.4263492769222008</v>
      </c>
      <c r="I62" s="27">
        <f t="shared" si="82"/>
        <v>8.676110373561972</v>
      </c>
      <c r="J62" s="27">
        <f t="shared" si="82"/>
        <v>7.9426492773284432</v>
      </c>
      <c r="K62" s="27">
        <f t="shared" si="82"/>
        <v>7.2271857347997237</v>
      </c>
      <c r="L62" s="27">
        <f t="shared" si="82"/>
        <v>6.8456827115177479</v>
      </c>
      <c r="M62" s="27">
        <f t="shared" si="82"/>
        <v>6.4712764592718548</v>
      </c>
      <c r="N62" s="27">
        <f t="shared" si="82"/>
        <v>6.1044829133163647</v>
      </c>
      <c r="O62" s="27">
        <f t="shared" si="82"/>
        <v>5.7458555173985904</v>
      </c>
      <c r="P62" s="27">
        <f t="shared" si="82"/>
        <v>5.3959879506262762</v>
      </c>
      <c r="Q62" s="27">
        <f t="shared" si="82"/>
        <v>5.2885087034210301</v>
      </c>
      <c r="R62" s="27">
        <f t="shared" si="82"/>
        <v>5.181029456215783</v>
      </c>
      <c r="S62" s="27">
        <f t="shared" si="82"/>
        <v>5.0735502090105369</v>
      </c>
      <c r="T62" s="27">
        <f t="shared" si="82"/>
        <v>4.9660709618052907</v>
      </c>
      <c r="U62" s="27">
        <f t="shared" si="82"/>
        <v>4.8585917146000437</v>
      </c>
      <c r="V62" s="27">
        <f t="shared" si="82"/>
        <v>4.7511124673947966</v>
      </c>
      <c r="W62" s="27">
        <f t="shared" si="82"/>
        <v>4.6436332201895514</v>
      </c>
      <c r="X62" s="27">
        <f t="shared" si="82"/>
        <v>4.5361539729843052</v>
      </c>
      <c r="Y62" s="27">
        <f t="shared" si="82"/>
        <v>4.4286747257790582</v>
      </c>
      <c r="Z62" s="27">
        <f t="shared" si="82"/>
        <v>4.3211954785738129</v>
      </c>
      <c r="AA62" s="27">
        <f t="shared" si="82"/>
        <v>4.2137162313685659</v>
      </c>
      <c r="AB62" s="27">
        <f t="shared" si="82"/>
        <v>4.0528539582380381</v>
      </c>
      <c r="AC62" s="27">
        <f t="shared" si="82"/>
        <v>3.8898836071423992</v>
      </c>
      <c r="AD62" s="27">
        <f t="shared" si="82"/>
        <v>3.7246519208135886</v>
      </c>
      <c r="AE62" s="27">
        <f t="shared" si="82"/>
        <v>3.5569945001801537</v>
      </c>
      <c r="AF62" s="27">
        <f t="shared" si="82"/>
        <v>3.3867349943581488</v>
      </c>
      <c r="AG62" s="27">
        <f t="shared" si="82"/>
        <v>3.2136842317543652</v>
      </c>
      <c r="AH62" s="27">
        <f t="shared" si="82"/>
        <v>3.0376392880007659</v>
      </c>
      <c r="AI62" s="27">
        <f t="shared" si="82"/>
        <v>2.8583824861277609</v>
      </c>
      <c r="AJ62" s="27">
        <f t="shared" si="82"/>
        <v>2.6756803240500715</v>
      </c>
    </row>
    <row r="63" spans="3:36" x14ac:dyDescent="0.25">
      <c r="D63" s="16" t="s">
        <v>46</v>
      </c>
      <c r="F63" s="21">
        <f>F62*(1+$C$13)^(F$18-2018)</f>
        <v>11.460798353460637</v>
      </c>
      <c r="G63" s="21">
        <f>G62*(1+$C$13)^(G$18-2018)</f>
        <v>10.879823657667188</v>
      </c>
      <c r="H63" s="21">
        <f t="shared" ref="H63:AJ63" si="83">H62*(1+$C$13)^(H$18-2018)</f>
        <v>10.283645826838816</v>
      </c>
      <c r="I63" s="21">
        <f t="shared" si="83"/>
        <v>9.6734089279624449</v>
      </c>
      <c r="J63" s="21">
        <f t="shared" si="83"/>
        <v>9.0504622379795236</v>
      </c>
      <c r="K63" s="21">
        <f t="shared" si="83"/>
        <v>8.4163829246791018</v>
      </c>
      <c r="L63" s="21">
        <f t="shared" si="83"/>
        <v>8.147491811818286</v>
      </c>
      <c r="M63" s="21">
        <f t="shared" si="83"/>
        <v>7.8713281082216024</v>
      </c>
      <c r="N63" s="21">
        <f t="shared" si="83"/>
        <v>7.5885332338265696</v>
      </c>
      <c r="O63" s="21">
        <f t="shared" si="83"/>
        <v>7.2998604018449047</v>
      </c>
      <c r="P63" s="21">
        <f t="shared" si="83"/>
        <v>7.006186936069418</v>
      </c>
      <c r="Q63" s="21">
        <f t="shared" si="83"/>
        <v>7.0177011343706157</v>
      </c>
      <c r="R63" s="21">
        <f t="shared" si="83"/>
        <v>7.0263309629200057</v>
      </c>
      <c r="S63" s="21">
        <f t="shared" si="83"/>
        <v>7.0319439365765364</v>
      </c>
      <c r="T63" s="21">
        <f t="shared" si="83"/>
        <v>7.0344031368879012</v>
      </c>
      <c r="U63" s="21">
        <f t="shared" si="83"/>
        <v>7.0335670811476607</v>
      </c>
      <c r="V63" s="21">
        <f t="shared" si="83"/>
        <v>7.0292895878365957</v>
      </c>
      <c r="W63" s="21">
        <f t="shared" si="83"/>
        <v>7.0214196383525724</v>
      </c>
      <c r="X63" s="21">
        <f t="shared" si="83"/>
        <v>7.0098012349307366</v>
      </c>
      <c r="Y63" s="21">
        <f t="shared" si="83"/>
        <v>6.9942732546533763</v>
      </c>
      <c r="Z63" s="21">
        <f t="shared" si="83"/>
        <v>6.9746692994461084</v>
      </c>
      <c r="AA63" s="21">
        <f t="shared" si="83"/>
        <v>6.9508175419544651</v>
      </c>
      <c r="AB63" s="21">
        <f t="shared" si="83"/>
        <v>6.8325442606000015</v>
      </c>
      <c r="AC63" s="21">
        <f t="shared" si="83"/>
        <v>6.7020706485826702</v>
      </c>
      <c r="AD63" s="21">
        <f t="shared" si="83"/>
        <v>6.5585673655506538</v>
      </c>
      <c r="AE63" s="21">
        <f t="shared" si="83"/>
        <v>6.4011408024887233</v>
      </c>
      <c r="AF63" s="21">
        <f t="shared" si="83"/>
        <v>6.2288274116790081</v>
      </c>
      <c r="AG63" s="21">
        <f t="shared" si="83"/>
        <v>6.0405875059275047</v>
      </c>
      <c r="AH63" s="21">
        <f t="shared" si="83"/>
        <v>5.8352984763684033</v>
      </c>
      <c r="AI63" s="21">
        <f t="shared" si="83"/>
        <v>5.611747373288221</v>
      </c>
      <c r="AJ63" s="21">
        <f t="shared" si="83"/>
        <v>5.3686227890729166</v>
      </c>
    </row>
    <row r="64" spans="3:36" x14ac:dyDescent="0.25">
      <c r="E64" s="23"/>
      <c r="F64" s="26">
        <f>F63*12*$C$8</f>
        <v>550.11832096611056</v>
      </c>
      <c r="G64" s="26">
        <f t="shared" ref="G64" si="84">G63*12*$C$8</f>
        <v>522.23153556802504</v>
      </c>
      <c r="H64" s="26">
        <f t="shared" ref="H64" si="85">H63*12*$C$8</f>
        <v>493.6149996882632</v>
      </c>
      <c r="I64" s="26">
        <f t="shared" ref="I64" si="86">I63*12*$C$8</f>
        <v>464.32362854219735</v>
      </c>
      <c r="J64" s="26">
        <f t="shared" ref="J64" si="87">J63*12*$C$8</f>
        <v>434.42218742301714</v>
      </c>
      <c r="K64" s="26">
        <f t="shared" ref="K64" si="88">K63*12*$C$8</f>
        <v>403.98638038459688</v>
      </c>
      <c r="L64" s="26">
        <f t="shared" ref="L64" si="89">L63*12*$C$8</f>
        <v>391.07960696727775</v>
      </c>
      <c r="M64" s="26">
        <f t="shared" ref="M64" si="90">M63*12*$C$8</f>
        <v>377.82374919463689</v>
      </c>
      <c r="N64" s="26">
        <f t="shared" ref="N64" si="91">N63*12*$C$8</f>
        <v>364.24959522367533</v>
      </c>
      <c r="O64" s="26">
        <f t="shared" ref="O64" si="92">O63*12*$C$8</f>
        <v>350.39329928855545</v>
      </c>
      <c r="P64" s="26">
        <f t="shared" ref="P64" si="93">P63*12*$C$8</f>
        <v>336.29697293133205</v>
      </c>
      <c r="Q64" s="26">
        <f t="shared" ref="Q64" si="94">Q63*12*$C$8</f>
        <v>336.84965444978957</v>
      </c>
      <c r="R64" s="26">
        <f t="shared" ref="R64" si="95">R63*12*$C$8</f>
        <v>337.26388622016026</v>
      </c>
      <c r="S64" s="26">
        <f t="shared" ref="S64" si="96">S63*12*$C$8</f>
        <v>337.53330895567376</v>
      </c>
      <c r="T64" s="26">
        <f t="shared" ref="T64" si="97">T63*12*$C$8</f>
        <v>337.65135057061923</v>
      </c>
      <c r="U64" s="26">
        <f t="shared" ref="U64" si="98">U63*12*$C$8</f>
        <v>337.61121989508774</v>
      </c>
      <c r="V64" s="26">
        <f t="shared" ref="V64" si="99">V63*12*$C$8</f>
        <v>337.40590021615662</v>
      </c>
      <c r="W64" s="26">
        <f t="shared" ref="W64" si="100">W63*12*$C$8</f>
        <v>337.02814264092348</v>
      </c>
      <c r="X64" s="26">
        <f t="shared" ref="X64" si="101">X63*12*$C$8</f>
        <v>336.47045927667534</v>
      </c>
      <c r="Y64" s="26">
        <f t="shared" ref="Y64" si="102">Y63*12*$C$8</f>
        <v>335.72511622336208</v>
      </c>
      <c r="Z64" s="26">
        <f t="shared" ref="Z64" si="103">Z63*12*$C$8</f>
        <v>334.78412637341319</v>
      </c>
      <c r="AA64" s="26">
        <f t="shared" ref="AA64" si="104">AA63*12*$C$8</f>
        <v>333.63924201381434</v>
      </c>
      <c r="AB64" s="26">
        <f t="shared" ref="AB64" si="105">AB63*12*$C$8</f>
        <v>327.96212450880006</v>
      </c>
      <c r="AC64" s="26">
        <f t="shared" ref="AC64" si="106">AC63*12*$C$8</f>
        <v>321.69939113196818</v>
      </c>
      <c r="AD64" s="26">
        <f t="shared" ref="AD64" si="107">AD63*12*$C$8</f>
        <v>314.81123354643137</v>
      </c>
      <c r="AE64" s="26">
        <f t="shared" ref="AE64" si="108">AE63*12*$C$8</f>
        <v>307.25475851945873</v>
      </c>
      <c r="AF64" s="26">
        <f t="shared" ref="AF64" si="109">AF63*12*$C$8</f>
        <v>298.98371576059242</v>
      </c>
      <c r="AG64" s="26">
        <f t="shared" ref="AG64" si="110">AG63*12*$C$8</f>
        <v>289.94820028452023</v>
      </c>
      <c r="AH64" s="26">
        <f t="shared" ref="AH64" si="111">AH63*12*$C$8</f>
        <v>280.09432686568334</v>
      </c>
      <c r="AI64" s="26">
        <f t="shared" ref="AI64" si="112">AI63*12*$C$8</f>
        <v>269.36387391783461</v>
      </c>
      <c r="AJ64" s="26">
        <f t="shared" ref="AJ64" si="113">AJ63*12*$C$8</f>
        <v>257.69389387550001</v>
      </c>
    </row>
    <row r="65" spans="3:36" x14ac:dyDescent="0.25">
      <c r="E65" s="23"/>
      <c r="F65" s="33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</row>
    <row r="66" spans="3:36" x14ac:dyDescent="0.25">
      <c r="E66" s="23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</row>
    <row r="67" spans="3:36" x14ac:dyDescent="0.25">
      <c r="E67" s="23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</row>
    <row r="68" spans="3:36" x14ac:dyDescent="0.25">
      <c r="E68" s="23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</row>
    <row r="70" spans="3:36" x14ac:dyDescent="0.25">
      <c r="C70" s="22" t="s">
        <v>45</v>
      </c>
      <c r="F70" s="16">
        <v>2020</v>
      </c>
      <c r="G70" s="16">
        <v>2021</v>
      </c>
      <c r="H70" s="16">
        <v>2022</v>
      </c>
      <c r="I70" s="16">
        <v>2023</v>
      </c>
      <c r="J70" s="16">
        <v>2024</v>
      </c>
      <c r="K70" s="16">
        <v>2025</v>
      </c>
      <c r="L70" s="16">
        <v>2026</v>
      </c>
      <c r="M70" s="16">
        <v>2027</v>
      </c>
      <c r="N70" s="16">
        <v>2028</v>
      </c>
      <c r="O70" s="16">
        <v>2029</v>
      </c>
      <c r="P70" s="16">
        <v>2030</v>
      </c>
      <c r="Q70" s="16">
        <v>2031</v>
      </c>
      <c r="R70" s="16">
        <v>2032</v>
      </c>
      <c r="S70" s="16">
        <v>2033</v>
      </c>
      <c r="T70" s="16">
        <v>2034</v>
      </c>
      <c r="U70" s="16">
        <v>2035</v>
      </c>
      <c r="V70" s="16">
        <v>2036</v>
      </c>
      <c r="W70" s="16">
        <v>2037</v>
      </c>
      <c r="X70" s="16">
        <v>2038</v>
      </c>
      <c r="Y70" s="16">
        <v>2039</v>
      </c>
      <c r="Z70" s="16">
        <v>2040</v>
      </c>
      <c r="AA70" s="16">
        <v>2041</v>
      </c>
      <c r="AB70" s="16">
        <v>2042</v>
      </c>
      <c r="AC70" s="16">
        <v>2043</v>
      </c>
      <c r="AD70" s="16">
        <v>2044</v>
      </c>
      <c r="AE70" s="16">
        <v>2045</v>
      </c>
      <c r="AF70" s="16">
        <v>2046</v>
      </c>
      <c r="AG70" s="16">
        <v>2047</v>
      </c>
      <c r="AH70" s="16">
        <v>2048</v>
      </c>
      <c r="AI70" s="16">
        <v>2049</v>
      </c>
      <c r="AJ70" s="16">
        <v>2050</v>
      </c>
    </row>
    <row r="71" spans="3:36" x14ac:dyDescent="0.25">
      <c r="D71" s="16" t="s">
        <v>28</v>
      </c>
      <c r="E71" s="23" t="s">
        <v>29</v>
      </c>
      <c r="F71" s="24">
        <f>'NREL ATB Storage'!AZ12</f>
        <v>308.69358288770059</v>
      </c>
      <c r="G71" s="24">
        <f>'NREL ATB Storage'!BA12</f>
        <v>300.38716577540112</v>
      </c>
      <c r="H71" s="24">
        <f>'NREL ATB Storage'!BB12</f>
        <v>292.08074866310159</v>
      </c>
      <c r="I71" s="24">
        <f>'NREL ATB Storage'!BC12</f>
        <v>283.77433155080212</v>
      </c>
      <c r="J71" s="24">
        <f>'NREL ATB Storage'!BD12</f>
        <v>275.4679144385027</v>
      </c>
      <c r="K71" s="24">
        <f>'NREL ATB Storage'!BE12</f>
        <v>267.16149732620318</v>
      </c>
      <c r="L71" s="24">
        <f>'NREL ATB Storage'!BF12</f>
        <v>260.92320855614975</v>
      </c>
      <c r="M71" s="24">
        <f>'NREL ATB Storage'!BG12</f>
        <v>254.68491978609626</v>
      </c>
      <c r="N71" s="24">
        <f>'NREL ATB Storage'!BH12</f>
        <v>248.44663101604277</v>
      </c>
      <c r="O71" s="24">
        <f>'NREL ATB Storage'!BI12</f>
        <v>242.20834224598931</v>
      </c>
      <c r="P71" s="24">
        <f>'NREL ATB Storage'!BJ12</f>
        <v>235.97005347593583</v>
      </c>
      <c r="Q71" s="24">
        <f>'NREL ATB Storage'!BK12</f>
        <v>233.02042780748664</v>
      </c>
      <c r="R71" s="24">
        <f>'NREL ATB Storage'!BL12</f>
        <v>230.07080213903745</v>
      </c>
      <c r="S71" s="24">
        <f>'NREL ATB Storage'!BM12</f>
        <v>227.12117647058827</v>
      </c>
      <c r="T71" s="24">
        <f>'NREL ATB Storage'!BN12</f>
        <v>224.17155080213905</v>
      </c>
      <c r="U71" s="24">
        <f>'NREL ATB Storage'!BO12</f>
        <v>221.22192513368989</v>
      </c>
      <c r="V71" s="24">
        <f>'NREL ATB Storage'!BP12</f>
        <v>218.27229946524071</v>
      </c>
      <c r="W71" s="24">
        <f>'NREL ATB Storage'!BQ12</f>
        <v>215.32267379679152</v>
      </c>
      <c r="X71" s="24">
        <f>'NREL ATB Storage'!BR12</f>
        <v>212.3730481283423</v>
      </c>
      <c r="Y71" s="24">
        <f>'NREL ATB Storage'!BS12</f>
        <v>209.42342245989312</v>
      </c>
      <c r="Z71" s="24">
        <f>'NREL ATB Storage'!BT12</f>
        <v>206.47379679144393</v>
      </c>
      <c r="AA71" s="24">
        <f>'NREL ATB Storage'!BU12</f>
        <v>203.52417112299474</v>
      </c>
      <c r="AB71" s="24">
        <f>'NREL ATB Storage'!BV12</f>
        <v>200.57454545454556</v>
      </c>
      <c r="AC71" s="24">
        <f>'NREL ATB Storage'!BW12</f>
        <v>197.62491978609637</v>
      </c>
      <c r="AD71" s="24">
        <f>'NREL ATB Storage'!BX12</f>
        <v>194.67529411764718</v>
      </c>
      <c r="AE71" s="24">
        <f>'NREL ATB Storage'!BY12</f>
        <v>191.725668449198</v>
      </c>
      <c r="AF71" s="24">
        <f>'NREL ATB Storage'!BZ12</f>
        <v>188.77604278074878</v>
      </c>
      <c r="AG71" s="24">
        <f>'NREL ATB Storage'!CA12</f>
        <v>185.82641711229959</v>
      </c>
      <c r="AH71" s="24">
        <f>'NREL ATB Storage'!CB12</f>
        <v>182.87679144385041</v>
      </c>
      <c r="AI71" s="24">
        <f>'NREL ATB Storage'!CC12</f>
        <v>179.92716577540122</v>
      </c>
      <c r="AJ71" s="24">
        <f>'NREL ATB Storage'!CD12</f>
        <v>176.97754010695192</v>
      </c>
    </row>
    <row r="72" spans="3:36" x14ac:dyDescent="0.25">
      <c r="D72" s="16" t="s">
        <v>30</v>
      </c>
      <c r="E72" s="16" t="s">
        <v>31</v>
      </c>
      <c r="F72" s="24">
        <f>'NREL ATB Storage'!AZ22</f>
        <v>268.76791443850271</v>
      </c>
      <c r="G72" s="24">
        <f>'NREL ATB Storage'!BA22</f>
        <v>261.53582887700537</v>
      </c>
      <c r="H72" s="24">
        <f>'NREL ATB Storage'!BB22</f>
        <v>254.30374331550803</v>
      </c>
      <c r="I72" s="24">
        <f>'NREL ATB Storage'!BC22</f>
        <v>247.07165775401069</v>
      </c>
      <c r="J72" s="24">
        <f>'NREL ATB Storage'!BD22</f>
        <v>239.83957219251337</v>
      </c>
      <c r="K72" s="24">
        <f>'NREL ATB Storage'!BE22</f>
        <v>232.60748663101603</v>
      </c>
      <c r="L72" s="24">
        <f>'NREL ATB Storage'!BF22</f>
        <v>227.17604278074865</v>
      </c>
      <c r="M72" s="24">
        <f>'NREL ATB Storage'!BG22</f>
        <v>221.74459893048126</v>
      </c>
      <c r="N72" s="24">
        <f>'NREL ATB Storage'!BH22</f>
        <v>216.31315508021387</v>
      </c>
      <c r="O72" s="24">
        <f>'NREL ATB Storage'!BI22</f>
        <v>210.88171122994655</v>
      </c>
      <c r="P72" s="24">
        <f>'NREL ATB Storage'!BJ22</f>
        <v>205.45026737967916</v>
      </c>
      <c r="Q72" s="24">
        <f>'NREL ATB Storage'!BK22</f>
        <v>202.88213903743315</v>
      </c>
      <c r="R72" s="24">
        <f>'NREL ATB Storage'!BL22</f>
        <v>200.31401069518719</v>
      </c>
      <c r="S72" s="24">
        <f>'NREL ATB Storage'!BM22</f>
        <v>197.74588235294121</v>
      </c>
      <c r="T72" s="24">
        <f>'NREL ATB Storage'!BN22</f>
        <v>195.17775401069522</v>
      </c>
      <c r="U72" s="24">
        <f>'NREL ATB Storage'!BO22</f>
        <v>192.60962566844924</v>
      </c>
      <c r="V72" s="24">
        <f>'NREL ATB Storage'!BP22</f>
        <v>190.04149732620328</v>
      </c>
      <c r="W72" s="24">
        <f>'NREL ATB Storage'!BQ22</f>
        <v>187.47336898395727</v>
      </c>
      <c r="X72" s="24">
        <f>'NREL ATB Storage'!BR22</f>
        <v>184.90524064171129</v>
      </c>
      <c r="Y72" s="24">
        <f>'NREL ATB Storage'!BS22</f>
        <v>182.3371122994653</v>
      </c>
      <c r="Z72" s="24">
        <f>'NREL ATB Storage'!BT22</f>
        <v>179.76898395721935</v>
      </c>
      <c r="AA72" s="24">
        <f>'NREL ATB Storage'!BU22</f>
        <v>177.20085561497336</v>
      </c>
      <c r="AB72" s="24">
        <f>'NREL ATB Storage'!BV22</f>
        <v>174.63272727272735</v>
      </c>
      <c r="AC72" s="24">
        <f>'NREL ATB Storage'!BW22</f>
        <v>172.06459893048137</v>
      </c>
      <c r="AD72" s="24">
        <f>'NREL ATB Storage'!BX22</f>
        <v>169.49647058823541</v>
      </c>
      <c r="AE72" s="24">
        <f>'NREL ATB Storage'!BY22</f>
        <v>166.92834224598943</v>
      </c>
      <c r="AF72" s="24">
        <f>'NREL ATB Storage'!BZ22</f>
        <v>164.36021390374344</v>
      </c>
      <c r="AG72" s="24">
        <f>'NREL ATB Storage'!CA22</f>
        <v>161.79208556149743</v>
      </c>
      <c r="AH72" s="24">
        <f>'NREL ATB Storage'!CB22</f>
        <v>159.22395721925147</v>
      </c>
      <c r="AI72" s="24">
        <f>'NREL ATB Storage'!CC22</f>
        <v>156.65582887700549</v>
      </c>
      <c r="AJ72" s="24">
        <f>'NREL ATB Storage'!CD22</f>
        <v>154.08770053475939</v>
      </c>
    </row>
    <row r="73" spans="3:36" x14ac:dyDescent="0.25">
      <c r="D73" s="16" t="s">
        <v>32</v>
      </c>
      <c r="E73" s="16" t="s">
        <v>44</v>
      </c>
      <c r="F73" s="24">
        <f>'NREL ATB Storage'!N19</f>
        <v>37.588556149732625</v>
      </c>
      <c r="G73" s="24">
        <f>'NREL ATB Storage'!O19</f>
        <v>36.577112299465249</v>
      </c>
      <c r="H73" s="24">
        <f>'NREL ATB Storage'!P19</f>
        <v>35.565668449197858</v>
      </c>
      <c r="I73" s="24">
        <f>'NREL ATB Storage'!Q19</f>
        <v>34.554224598930482</v>
      </c>
      <c r="J73" s="24">
        <f>'NREL ATB Storage'!R19</f>
        <v>33.542780748663105</v>
      </c>
      <c r="K73" s="24">
        <f>'NREL ATB Storage'!S19</f>
        <v>32.531336898395715</v>
      </c>
      <c r="L73" s="24">
        <f>'NREL ATB Storage'!T19</f>
        <v>31.771721925133694</v>
      </c>
      <c r="M73" s="24">
        <f>'NREL ATB Storage'!U19</f>
        <v>31.012106951871658</v>
      </c>
      <c r="N73" s="24">
        <f>'NREL ATB Storage'!V19</f>
        <v>30.252491978609626</v>
      </c>
      <c r="O73" s="24">
        <f>'NREL ATB Storage'!W19</f>
        <v>29.492877005347594</v>
      </c>
      <c r="P73" s="24">
        <f>'NREL ATB Storage'!X19</f>
        <v>28.733262032085563</v>
      </c>
      <c r="Q73" s="24">
        <f>'NREL ATB Storage'!Y19</f>
        <v>28.374096256684496</v>
      </c>
      <c r="R73" s="24">
        <f>'NREL ATB Storage'!Z19</f>
        <v>28.014930481283429</v>
      </c>
      <c r="S73" s="24">
        <f>'NREL ATB Storage'!AA19</f>
        <v>27.655764705882362</v>
      </c>
      <c r="T73" s="24">
        <f>'NREL ATB Storage'!AB19</f>
        <v>27.296598930481288</v>
      </c>
      <c r="U73" s="24">
        <f>'NREL ATB Storage'!AC19</f>
        <v>26.937433155080221</v>
      </c>
      <c r="V73" s="24">
        <f>'NREL ATB Storage'!AD19</f>
        <v>26.578267379679154</v>
      </c>
      <c r="W73" s="24">
        <f>'NREL ATB Storage'!AE19</f>
        <v>26.219101604278087</v>
      </c>
      <c r="X73" s="24">
        <f>'NREL ATB Storage'!AF19</f>
        <v>25.859935828877013</v>
      </c>
      <c r="Y73" s="24">
        <f>'NREL ATB Storage'!AG19</f>
        <v>25.500770053475946</v>
      </c>
      <c r="Z73" s="24">
        <f>'NREL ATB Storage'!AH19</f>
        <v>25.14160427807488</v>
      </c>
      <c r="AA73" s="24">
        <f>'NREL ATB Storage'!AI19</f>
        <v>24.782438502673809</v>
      </c>
      <c r="AB73" s="24">
        <f>'NREL ATB Storage'!AJ19</f>
        <v>24.423272727272742</v>
      </c>
      <c r="AC73" s="24">
        <f>'NREL ATB Storage'!AK19</f>
        <v>24.064106951871672</v>
      </c>
      <c r="AD73" s="24">
        <f>'NREL ATB Storage'!AL19</f>
        <v>23.704941176470605</v>
      </c>
      <c r="AE73" s="24">
        <f>'NREL ATB Storage'!AM19</f>
        <v>23.345775401069535</v>
      </c>
      <c r="AF73" s="24">
        <f>'NREL ATB Storage'!AN19</f>
        <v>22.986609625668464</v>
      </c>
      <c r="AG73" s="24">
        <f>'NREL ATB Storage'!AO19</f>
        <v>22.627443850267397</v>
      </c>
      <c r="AH73" s="24">
        <f>'NREL ATB Storage'!AP19</f>
        <v>22.26827807486633</v>
      </c>
      <c r="AI73" s="24">
        <f>'NREL ATB Storage'!AQ19</f>
        <v>21.909112299465264</v>
      </c>
      <c r="AJ73" s="24">
        <f>'NREL ATB Storage'!AR19</f>
        <v>21.549946524064179</v>
      </c>
    </row>
    <row r="74" spans="3:36" x14ac:dyDescent="0.25">
      <c r="D74" s="16" t="s">
        <v>34</v>
      </c>
      <c r="E74" s="16" t="s">
        <v>35</v>
      </c>
      <c r="F74" s="25">
        <f>'NREL ATB Storage'!N$27</f>
        <v>0</v>
      </c>
      <c r="G74" s="25">
        <f>'NREL ATB Storage'!O$27</f>
        <v>0</v>
      </c>
      <c r="H74" s="25">
        <f>'NREL ATB Storage'!P$27</f>
        <v>0</v>
      </c>
      <c r="I74" s="25">
        <f>'NREL ATB Storage'!Q$27</f>
        <v>0</v>
      </c>
      <c r="J74" s="25">
        <f>'NREL ATB Storage'!R$27</f>
        <v>0</v>
      </c>
      <c r="K74" s="25">
        <f>'NREL ATB Storage'!S$27</f>
        <v>0</v>
      </c>
      <c r="L74" s="25">
        <f>'NREL ATB Storage'!T$27</f>
        <v>0</v>
      </c>
      <c r="M74" s="25">
        <f>'NREL ATB Storage'!U$27</f>
        <v>0</v>
      </c>
      <c r="N74" s="25">
        <f>'NREL ATB Storage'!V$27</f>
        <v>0</v>
      </c>
      <c r="O74" s="25">
        <f>'NREL ATB Storage'!W$27</f>
        <v>0</v>
      </c>
      <c r="P74" s="25">
        <f>'NREL ATB Storage'!X$27</f>
        <v>0</v>
      </c>
      <c r="Q74" s="25">
        <f>'NREL ATB Storage'!Y$27</f>
        <v>0</v>
      </c>
      <c r="R74" s="25">
        <f>'NREL ATB Storage'!Z$27</f>
        <v>0</v>
      </c>
      <c r="S74" s="25">
        <f>'NREL ATB Storage'!AA$27</f>
        <v>0</v>
      </c>
      <c r="T74" s="25">
        <f>'NREL ATB Storage'!AB$27</f>
        <v>0</v>
      </c>
      <c r="U74" s="25">
        <f>'NREL ATB Storage'!AC$27</f>
        <v>0</v>
      </c>
      <c r="V74" s="25">
        <f>'NREL ATB Storage'!AD$27</f>
        <v>0</v>
      </c>
      <c r="W74" s="25">
        <f>'NREL ATB Storage'!AE$27</f>
        <v>0</v>
      </c>
      <c r="X74" s="25">
        <f>'NREL ATB Storage'!AF$27</f>
        <v>0</v>
      </c>
      <c r="Y74" s="25">
        <f>'NREL ATB Storage'!AG$27</f>
        <v>0</v>
      </c>
      <c r="Z74" s="25">
        <f>'NREL ATB Storage'!AH$27</f>
        <v>0</v>
      </c>
      <c r="AA74" s="25">
        <f>'NREL ATB Storage'!AI$27</f>
        <v>0</v>
      </c>
      <c r="AB74" s="25">
        <f>'NREL ATB Storage'!AJ$27</f>
        <v>0</v>
      </c>
      <c r="AC74" s="25">
        <f>'NREL ATB Storage'!AK$27</f>
        <v>0</v>
      </c>
      <c r="AD74" s="25">
        <f>'NREL ATB Storage'!AL$27</f>
        <v>0</v>
      </c>
      <c r="AE74" s="25">
        <f>'NREL ATB Storage'!AM$27</f>
        <v>0</v>
      </c>
      <c r="AF74" s="25">
        <f>'NREL ATB Storage'!AN$27</f>
        <v>0</v>
      </c>
      <c r="AG74" s="25">
        <f>'NREL ATB Storage'!AO$27</f>
        <v>0</v>
      </c>
      <c r="AH74" s="25">
        <f>'NREL ATB Storage'!AP$27</f>
        <v>0</v>
      </c>
      <c r="AI74" s="25">
        <f>'NREL ATB Storage'!AQ$27</f>
        <v>0</v>
      </c>
      <c r="AJ74" s="25">
        <f>'NREL ATB Storage'!AR$27</f>
        <v>0</v>
      </c>
    </row>
    <row r="75" spans="3:36" x14ac:dyDescent="0.25">
      <c r="D75" s="16" t="s">
        <v>36</v>
      </c>
      <c r="F75" s="26">
        <f>((F71*$C$7*1000*$C$8)+(F72*1000*$C$8))</f>
        <v>6014168.9839572199</v>
      </c>
      <c r="G75" s="26">
        <f>((G71*$C$7*1000*$C$8)+(G72*1000*$C$8))</f>
        <v>5852337.9679144397</v>
      </c>
      <c r="H75" s="26">
        <f t="shared" ref="H75:AJ75" si="114">((H71*$C$7*1000*$C$8)+(H72*1000*$C$8))</f>
        <v>5690506.9518716577</v>
      </c>
      <c r="I75" s="26">
        <f t="shared" si="114"/>
        <v>5528675.9358288767</v>
      </c>
      <c r="J75" s="26">
        <f t="shared" si="114"/>
        <v>5366844.9197860966</v>
      </c>
      <c r="K75" s="26">
        <f t="shared" si="114"/>
        <v>5205013.9037433146</v>
      </c>
      <c r="L75" s="26">
        <f t="shared" si="114"/>
        <v>5083475.5080213901</v>
      </c>
      <c r="M75" s="26">
        <f t="shared" si="114"/>
        <v>4961937.1122994656</v>
      </c>
      <c r="N75" s="26">
        <f t="shared" si="114"/>
        <v>4840398.7165775402</v>
      </c>
      <c r="O75" s="26">
        <f t="shared" si="114"/>
        <v>4718860.3208556147</v>
      </c>
      <c r="P75" s="26">
        <f t="shared" si="114"/>
        <v>4597321.9251336902</v>
      </c>
      <c r="Q75" s="26">
        <f t="shared" si="114"/>
        <v>4539855.4010695191</v>
      </c>
      <c r="R75" s="26">
        <f t="shared" si="114"/>
        <v>4482388.877005348</v>
      </c>
      <c r="S75" s="26">
        <f t="shared" si="114"/>
        <v>4424922.3529411778</v>
      </c>
      <c r="T75" s="26">
        <f t="shared" si="114"/>
        <v>4367455.8288770057</v>
      </c>
      <c r="U75" s="26">
        <f t="shared" si="114"/>
        <v>4309989.3048128355</v>
      </c>
      <c r="V75" s="26">
        <f t="shared" si="114"/>
        <v>4252522.7807486644</v>
      </c>
      <c r="W75" s="26">
        <f t="shared" si="114"/>
        <v>4195056.2566844933</v>
      </c>
      <c r="X75" s="26">
        <f t="shared" si="114"/>
        <v>4137589.7326203221</v>
      </c>
      <c r="Y75" s="26">
        <f t="shared" si="114"/>
        <v>4080123.208556151</v>
      </c>
      <c r="Z75" s="26">
        <f t="shared" si="114"/>
        <v>4022656.6844919799</v>
      </c>
      <c r="AA75" s="26">
        <f t="shared" si="114"/>
        <v>3965190.1604278092</v>
      </c>
      <c r="AB75" s="26">
        <f t="shared" si="114"/>
        <v>3907723.6363636386</v>
      </c>
      <c r="AC75" s="26">
        <f t="shared" si="114"/>
        <v>3850257.1122994674</v>
      </c>
      <c r="AD75" s="26">
        <f t="shared" si="114"/>
        <v>3792790.5882352968</v>
      </c>
      <c r="AE75" s="26">
        <f t="shared" si="114"/>
        <v>3735324.0641711252</v>
      </c>
      <c r="AF75" s="26">
        <f t="shared" si="114"/>
        <v>3677857.5401069541</v>
      </c>
      <c r="AG75" s="26">
        <f t="shared" si="114"/>
        <v>3620391.0160427829</v>
      </c>
      <c r="AH75" s="26">
        <f t="shared" si="114"/>
        <v>3562924.4919786123</v>
      </c>
      <c r="AI75" s="26">
        <f t="shared" si="114"/>
        <v>3505457.9679144416</v>
      </c>
      <c r="AJ75" s="26">
        <f t="shared" si="114"/>
        <v>3447991.4438502686</v>
      </c>
    </row>
    <row r="76" spans="3:36" x14ac:dyDescent="0.25"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</row>
    <row r="77" spans="3:36" x14ac:dyDescent="0.25">
      <c r="D77" s="16" t="s">
        <v>37</v>
      </c>
      <c r="F77" s="26">
        <f>F75*$C$11</f>
        <v>577886.93506002554</v>
      </c>
      <c r="G77" s="26">
        <f t="shared" ref="G77:AJ77" si="115">G75*$C$11</f>
        <v>562336.9845833967</v>
      </c>
      <c r="H77" s="26">
        <f t="shared" si="115"/>
        <v>546787.03410676762</v>
      </c>
      <c r="I77" s="26">
        <f t="shared" si="115"/>
        <v>531237.08363013866</v>
      </c>
      <c r="J77" s="26">
        <f t="shared" si="115"/>
        <v>515687.13315350981</v>
      </c>
      <c r="K77" s="26">
        <f t="shared" si="115"/>
        <v>500137.1826768808</v>
      </c>
      <c r="L77" s="26">
        <f t="shared" si="115"/>
        <v>488458.85252300446</v>
      </c>
      <c r="M77" s="26">
        <f t="shared" si="115"/>
        <v>476780.52236912813</v>
      </c>
      <c r="N77" s="26">
        <f t="shared" si="115"/>
        <v>465102.19221525168</v>
      </c>
      <c r="O77" s="26">
        <f t="shared" si="115"/>
        <v>453423.86206137523</v>
      </c>
      <c r="P77" s="26">
        <f t="shared" si="115"/>
        <v>441745.53190749889</v>
      </c>
      <c r="Q77" s="26">
        <f t="shared" si="115"/>
        <v>436223.71275865519</v>
      </c>
      <c r="R77" s="26">
        <f t="shared" si="115"/>
        <v>430701.89360981144</v>
      </c>
      <c r="S77" s="26">
        <f t="shared" si="115"/>
        <v>425180.07446096779</v>
      </c>
      <c r="T77" s="26">
        <f t="shared" si="115"/>
        <v>419658.25531212398</v>
      </c>
      <c r="U77" s="26">
        <f t="shared" si="115"/>
        <v>414136.43616328033</v>
      </c>
      <c r="V77" s="26">
        <f t="shared" si="115"/>
        <v>408614.61701443658</v>
      </c>
      <c r="W77" s="26">
        <f t="shared" si="115"/>
        <v>403092.79786559282</v>
      </c>
      <c r="X77" s="26">
        <f t="shared" si="115"/>
        <v>397570.97871674912</v>
      </c>
      <c r="Y77" s="26">
        <f t="shared" si="115"/>
        <v>392049.15956790536</v>
      </c>
      <c r="Z77" s="26">
        <f t="shared" si="115"/>
        <v>386527.34041906166</v>
      </c>
      <c r="AA77" s="26">
        <f t="shared" si="115"/>
        <v>381005.52127021796</v>
      </c>
      <c r="AB77" s="26">
        <f t="shared" si="115"/>
        <v>375483.70212137426</v>
      </c>
      <c r="AC77" s="26">
        <f t="shared" si="115"/>
        <v>369961.8829725305</v>
      </c>
      <c r="AD77" s="26">
        <f t="shared" si="115"/>
        <v>364440.0638236868</v>
      </c>
      <c r="AE77" s="26">
        <f t="shared" si="115"/>
        <v>358918.24467484304</v>
      </c>
      <c r="AF77" s="26">
        <f t="shared" si="115"/>
        <v>353396.42552599928</v>
      </c>
      <c r="AG77" s="26">
        <f t="shared" si="115"/>
        <v>347874.60637715558</v>
      </c>
      <c r="AH77" s="26">
        <f t="shared" si="115"/>
        <v>342352.78722831188</v>
      </c>
      <c r="AI77" s="26">
        <f t="shared" si="115"/>
        <v>336830.96807946818</v>
      </c>
      <c r="AJ77" s="26">
        <f t="shared" si="115"/>
        <v>331309.14893062424</v>
      </c>
    </row>
    <row r="78" spans="3:36" x14ac:dyDescent="0.25">
      <c r="D78" s="16" t="s">
        <v>38</v>
      </c>
      <c r="F78" s="26">
        <f>-PMT($C$5,10,NPV($C$5,G73:O73)+F73)*$C$8*1000</f>
        <v>145077.8802591821</v>
      </c>
      <c r="G78" s="26">
        <f t="shared" ref="G78:AJ78" si="116">-PMT($C$5,10,NPV($C$5,H73:P73)+G73)*$C$8*1000</f>
        <v>141184.42198226997</v>
      </c>
      <c r="H78" s="26">
        <f t="shared" si="116"/>
        <v>137523.42117658234</v>
      </c>
      <c r="I78" s="26">
        <f t="shared" si="116"/>
        <v>134111.7775002773</v>
      </c>
      <c r="J78" s="26">
        <f t="shared" si="116"/>
        <v>130967.61921666098</v>
      </c>
      <c r="K78" s="26">
        <f t="shared" si="116"/>
        <v>128110.39251378179</v>
      </c>
      <c r="L78" s="26">
        <f t="shared" si="116"/>
        <v>125560.95731755933</v>
      </c>
      <c r="M78" s="26">
        <f t="shared" si="116"/>
        <v>123185.91873343862</v>
      </c>
      <c r="N78" s="26">
        <f t="shared" si="116"/>
        <v>120997.95539511945</v>
      </c>
      <c r="O78" s="26">
        <f t="shared" si="116"/>
        <v>119010.66767297157</v>
      </c>
      <c r="P78" s="26">
        <f t="shared" si="116"/>
        <v>117238.64468429069</v>
      </c>
      <c r="Q78" s="26">
        <f t="shared" si="116"/>
        <v>115697.53617519977</v>
      </c>
      <c r="R78" s="26">
        <f t="shared" si="116"/>
        <v>114156.42766610884</v>
      </c>
      <c r="S78" s="26">
        <f t="shared" si="116"/>
        <v>112615.31915701795</v>
      </c>
      <c r="T78" s="26">
        <f t="shared" si="116"/>
        <v>111074.21064792704</v>
      </c>
      <c r="U78" s="26">
        <f t="shared" si="116"/>
        <v>109533.10213883611</v>
      </c>
      <c r="V78" s="26">
        <f t="shared" si="116"/>
        <v>107991.99362974524</v>
      </c>
      <c r="W78" s="26">
        <f t="shared" si="116"/>
        <v>106450.88512065433</v>
      </c>
      <c r="X78" s="26">
        <f t="shared" si="116"/>
        <v>104909.77661156341</v>
      </c>
      <c r="Y78" s="26">
        <f t="shared" si="116"/>
        <v>103368.66810247254</v>
      </c>
      <c r="Z78" s="26">
        <f t="shared" si="116"/>
        <v>101827.55959338159</v>
      </c>
      <c r="AA78" s="26">
        <f t="shared" si="116"/>
        <v>100286.4510842907</v>
      </c>
      <c r="AB78" s="26">
        <f t="shared" si="116"/>
        <v>92247.844331479733</v>
      </c>
      <c r="AC78" s="26">
        <f t="shared" si="116"/>
        <v>83846.99654522691</v>
      </c>
      <c r="AD78" s="26">
        <f t="shared" si="116"/>
        <v>75057.57280240106</v>
      </c>
      <c r="AE78" s="26">
        <f t="shared" si="116"/>
        <v>65851.32363095929</v>
      </c>
      <c r="AF78" s="26">
        <f t="shared" si="116"/>
        <v>56197.945822241192</v>
      </c>
      <c r="AG78" s="26">
        <f t="shared" si="116"/>
        <v>46064.933124316834</v>
      </c>
      <c r="AH78" s="26">
        <f t="shared" si="116"/>
        <v>35417.416080740892</v>
      </c>
      <c r="AI78" s="26">
        <f t="shared" si="116"/>
        <v>24217.990225584497</v>
      </c>
      <c r="AJ78" s="26">
        <f t="shared" si="116"/>
        <v>12426.531788245748</v>
      </c>
    </row>
    <row r="79" spans="3:36" x14ac:dyDescent="0.25">
      <c r="D79" s="16" t="s">
        <v>39</v>
      </c>
      <c r="E79" s="23" t="s">
        <v>40</v>
      </c>
      <c r="F79" s="26">
        <f>SUM(F77:F78)+($C$7*$C$8*$C$10*F74)</f>
        <v>722964.81531920761</v>
      </c>
      <c r="G79" s="26">
        <f t="shared" ref="G79:AJ79" si="117">SUM(G77:G78)+($C$7*$C$8*$C$10*G74)</f>
        <v>703521.40656566666</v>
      </c>
      <c r="H79" s="26">
        <f t="shared" si="117"/>
        <v>684310.45528334996</v>
      </c>
      <c r="I79" s="26">
        <f t="shared" si="117"/>
        <v>665348.86113041593</v>
      </c>
      <c r="J79" s="26">
        <f t="shared" si="117"/>
        <v>646654.75237017078</v>
      </c>
      <c r="K79" s="26">
        <f t="shared" si="117"/>
        <v>628247.57519066264</v>
      </c>
      <c r="L79" s="26">
        <f t="shared" si="117"/>
        <v>614019.8098405638</v>
      </c>
      <c r="M79" s="26">
        <f t="shared" si="117"/>
        <v>599966.44110256678</v>
      </c>
      <c r="N79" s="26">
        <f t="shared" si="117"/>
        <v>586100.14761037112</v>
      </c>
      <c r="O79" s="26">
        <f t="shared" si="117"/>
        <v>572434.52973434678</v>
      </c>
      <c r="P79" s="26">
        <f t="shared" si="117"/>
        <v>558984.17659178958</v>
      </c>
      <c r="Q79" s="26">
        <f t="shared" si="117"/>
        <v>551921.24893385498</v>
      </c>
      <c r="R79" s="26">
        <f t="shared" si="117"/>
        <v>544858.32127592026</v>
      </c>
      <c r="S79" s="26">
        <f t="shared" si="117"/>
        <v>537795.39361798577</v>
      </c>
      <c r="T79" s="26">
        <f t="shared" si="117"/>
        <v>530732.46596005105</v>
      </c>
      <c r="U79" s="26">
        <f t="shared" si="117"/>
        <v>523669.53830211645</v>
      </c>
      <c r="V79" s="26">
        <f t="shared" si="117"/>
        <v>516606.61064418184</v>
      </c>
      <c r="W79" s="26">
        <f t="shared" si="117"/>
        <v>509543.68298624712</v>
      </c>
      <c r="X79" s="26">
        <f t="shared" si="117"/>
        <v>502480.75532831252</v>
      </c>
      <c r="Y79" s="26">
        <f t="shared" si="117"/>
        <v>495417.82767037791</v>
      </c>
      <c r="Z79" s="26">
        <f t="shared" si="117"/>
        <v>488354.90001244325</v>
      </c>
      <c r="AA79" s="26">
        <f t="shared" si="117"/>
        <v>481291.97235450865</v>
      </c>
      <c r="AB79" s="26">
        <f t="shared" si="117"/>
        <v>467731.546452854</v>
      </c>
      <c r="AC79" s="26">
        <f t="shared" si="117"/>
        <v>453808.87951775739</v>
      </c>
      <c r="AD79" s="26">
        <f t="shared" si="117"/>
        <v>439497.63662608783</v>
      </c>
      <c r="AE79" s="26">
        <f t="shared" si="117"/>
        <v>424769.5683058023</v>
      </c>
      <c r="AF79" s="26">
        <f t="shared" si="117"/>
        <v>409594.37134824047</v>
      </c>
      <c r="AG79" s="26">
        <f t="shared" si="117"/>
        <v>393939.53950147243</v>
      </c>
      <c r="AH79" s="26">
        <f t="shared" si="117"/>
        <v>377770.20330905274</v>
      </c>
      <c r="AI79" s="26">
        <f t="shared" si="117"/>
        <v>361048.95830505266</v>
      </c>
      <c r="AJ79" s="26">
        <f t="shared" si="117"/>
        <v>343735.68071887002</v>
      </c>
    </row>
    <row r="80" spans="3:36" x14ac:dyDescent="0.25">
      <c r="D80" s="16" t="s">
        <v>41</v>
      </c>
      <c r="E80" s="23" t="s">
        <v>42</v>
      </c>
      <c r="F80" s="27">
        <f>F79/$C$8/12/1000</f>
        <v>15.061766985816824</v>
      </c>
      <c r="G80" s="27">
        <f t="shared" ref="G80:AJ80" si="118">G79/$C$8/12/1000</f>
        <v>14.656695970118054</v>
      </c>
      <c r="H80" s="27">
        <f t="shared" si="118"/>
        <v>14.256467818403124</v>
      </c>
      <c r="I80" s="27">
        <f t="shared" si="118"/>
        <v>13.861434606883666</v>
      </c>
      <c r="J80" s="27">
        <f t="shared" si="118"/>
        <v>13.471974007711891</v>
      </c>
      <c r="K80" s="27">
        <f t="shared" si="118"/>
        <v>13.088491149805472</v>
      </c>
      <c r="L80" s="27">
        <f t="shared" si="118"/>
        <v>12.792079371678412</v>
      </c>
      <c r="M80" s="27">
        <f t="shared" si="118"/>
        <v>12.499300856303474</v>
      </c>
      <c r="N80" s="27">
        <f t="shared" si="118"/>
        <v>12.210419741882731</v>
      </c>
      <c r="O80" s="27">
        <f t="shared" si="118"/>
        <v>11.925719369465558</v>
      </c>
      <c r="P80" s="27">
        <f t="shared" si="118"/>
        <v>11.645503678995615</v>
      </c>
      <c r="Q80" s="27">
        <f t="shared" si="118"/>
        <v>11.498359352788645</v>
      </c>
      <c r="R80" s="27">
        <f t="shared" si="118"/>
        <v>11.351215026581672</v>
      </c>
      <c r="S80" s="27">
        <f t="shared" si="118"/>
        <v>11.204070700374704</v>
      </c>
      <c r="T80" s="27">
        <f t="shared" si="118"/>
        <v>11.05692637416773</v>
      </c>
      <c r="U80" s="27">
        <f t="shared" si="118"/>
        <v>10.909782047960761</v>
      </c>
      <c r="V80" s="27">
        <f t="shared" si="118"/>
        <v>10.762637721753789</v>
      </c>
      <c r="W80" s="27">
        <f t="shared" si="118"/>
        <v>10.615493395546816</v>
      </c>
      <c r="X80" s="27">
        <f t="shared" si="118"/>
        <v>10.468349069339844</v>
      </c>
      <c r="Y80" s="27">
        <f t="shared" si="118"/>
        <v>10.321204743132874</v>
      </c>
      <c r="Z80" s="27">
        <f t="shared" si="118"/>
        <v>10.174060416925901</v>
      </c>
      <c r="AA80" s="27">
        <f t="shared" si="118"/>
        <v>10.026916090718931</v>
      </c>
      <c r="AB80" s="27">
        <f t="shared" si="118"/>
        <v>9.7444072177677921</v>
      </c>
      <c r="AC80" s="27">
        <f t="shared" si="118"/>
        <v>9.454351656619945</v>
      </c>
      <c r="AD80" s="27">
        <f t="shared" si="118"/>
        <v>9.1562007630434969</v>
      </c>
      <c r="AE80" s="27">
        <f t="shared" si="118"/>
        <v>8.8493660063708806</v>
      </c>
      <c r="AF80" s="27">
        <f t="shared" si="118"/>
        <v>8.5332160697550101</v>
      </c>
      <c r="AG80" s="27">
        <f t="shared" si="118"/>
        <v>8.2070737396140085</v>
      </c>
      <c r="AH80" s="27">
        <f t="shared" si="118"/>
        <v>7.8702125689385989</v>
      </c>
      <c r="AI80" s="27">
        <f t="shared" si="118"/>
        <v>7.5218532980219308</v>
      </c>
      <c r="AJ80" s="27">
        <f t="shared" si="118"/>
        <v>7.1611600149764589</v>
      </c>
    </row>
    <row r="81" spans="4:36" x14ac:dyDescent="0.25">
      <c r="D81" s="16" t="s">
        <v>46</v>
      </c>
      <c r="F81" s="21">
        <f>F80*(1+$C$13)^(F$18-2018)</f>
        <v>15.731774628413898</v>
      </c>
      <c r="G81" s="21">
        <f>G80*(1+$C$13)^(G$18-2018)</f>
        <v>15.645475491193148</v>
      </c>
      <c r="H81" s="21">
        <f>H80*(1+$C$13)^(H$18-2018)</f>
        <v>15.553048320107688</v>
      </c>
      <c r="I81" s="21">
        <f t="shared" ref="I81" si="119">I80*(1+$C$13)^(I$18-2018)</f>
        <v>15.454774029752986</v>
      </c>
      <c r="J81" s="21">
        <f t="shared" ref="J81" si="120">J80*(1+$C$13)^(J$18-2018)</f>
        <v>15.350997856076706</v>
      </c>
      <c r="K81" s="21">
        <f t="shared" ref="K81" si="121">K80*(1+$C$13)^(K$18-2018)</f>
        <v>15.242136768758298</v>
      </c>
      <c r="L81" s="21">
        <f t="shared" ref="L81" si="122">L80*(1+$C$13)^(L$18-2018)</f>
        <v>15.224684860361025</v>
      </c>
      <c r="M81" s="21">
        <f t="shared" ref="M81" si="123">M80*(1+$C$13)^(M$18-2018)</f>
        <v>15.203507187886428</v>
      </c>
      <c r="N81" s="21">
        <f t="shared" ref="N81" si="124">N80*(1+$C$13)^(N$18-2018)</f>
        <v>15.178873841733873</v>
      </c>
      <c r="O81" s="21">
        <f t="shared" ref="O81" si="125">O80*(1+$C$13)^(O$18-2018)</f>
        <v>15.15110958238829</v>
      </c>
      <c r="P81" s="21">
        <f t="shared" ref="P81" si="126">P80*(1+$C$13)^(P$18-2018)</f>
        <v>15.120600061802909</v>
      </c>
      <c r="Q81" s="21">
        <f t="shared" ref="Q81" si="127">Q80*(1+$C$13)^(Q$18-2018)</f>
        <v>15.257996913433798</v>
      </c>
      <c r="R81" s="21">
        <f t="shared" ref="R81" si="128">R80*(1+$C$13)^(R$18-2018)</f>
        <v>15.394120856106525</v>
      </c>
      <c r="S81" s="21">
        <f t="shared" ref="S81" si="129">S80*(1+$C$13)^(S$18-2018)</f>
        <v>15.528849381750764</v>
      </c>
      <c r="T81" s="21">
        <f t="shared" ref="T81" si="130">T80*(1+$C$13)^(T$18-2018)</f>
        <v>15.662055208028981</v>
      </c>
      <c r="U81" s="21">
        <f t="shared" ref="U81" si="131">U80*(1+$C$13)^(U$18-2018)</f>
        <v>15.793606127562679</v>
      </c>
      <c r="V81" s="21">
        <f t="shared" ref="V81" si="132">V80*(1+$C$13)^(V$18-2018)</f>
        <v>15.923364852835171</v>
      </c>
      <c r="W81" s="21">
        <f t="shared" ref="W81" si="133">W80*(1+$C$13)^(W$18-2018)</f>
        <v>16.051188856653908</v>
      </c>
      <c r="X81" s="21">
        <f t="shared" ref="X81" si="134">X80*(1+$C$13)^(X$18-2018)</f>
        <v>16.176930208051903</v>
      </c>
      <c r="Y81" s="21">
        <f t="shared" ref="Y81" si="135">Y80*(1+$C$13)^(Y$18-2018)</f>
        <v>16.300435403504792</v>
      </c>
      <c r="Z81" s="21">
        <f t="shared" ref="Z81" si="136">Z80*(1+$C$13)^(Z$18-2018)</f>
        <v>16.421545193336904</v>
      </c>
      <c r="AA81" s="21">
        <f t="shared" ref="AA81" si="137">AA80*(1+$C$13)^(AA$18-2018)</f>
        <v>16.540094403186338</v>
      </c>
      <c r="AB81" s="21">
        <f t="shared" ref="AB81" si="138">AB80*(1+$C$13)^(AB$18-2018)</f>
        <v>16.427706079410161</v>
      </c>
      <c r="AC81" s="21">
        <f t="shared" ref="AC81" si="139">AC80*(1+$C$13)^(AC$18-2018)</f>
        <v>16.289364705634465</v>
      </c>
      <c r="AD81" s="21">
        <f t="shared" ref="AD81" si="140">AD80*(1+$C$13)^(AD$18-2018)</f>
        <v>16.122730605068138</v>
      </c>
      <c r="AE81" s="21">
        <f t="shared" ref="AE81" si="141">AE80*(1+$C$13)^(AE$18-2018)</f>
        <v>15.925253136227321</v>
      </c>
      <c r="AF81" s="21">
        <f t="shared" ref="AF81" si="142">AF80*(1+$C$13)^(AF$18-2018)</f>
        <v>15.694150931092596</v>
      </c>
      <c r="AG81" s="21">
        <f t="shared" ref="AG81" si="143">AG80*(1+$C$13)^(AG$18-2018)</f>
        <v>15.426390247642527</v>
      </c>
      <c r="AH81" s="21">
        <f t="shared" ref="AH81" si="144">AH80*(1+$C$13)^(AH$18-2018)</f>
        <v>15.118661255678123</v>
      </c>
      <c r="AI81" s="21">
        <f t="shared" ref="AI81" si="145">AI80*(1+$C$13)^(AI$18-2018)</f>
        <v>14.767352057427637</v>
      </c>
      <c r="AJ81" s="21">
        <f t="shared" ref="AJ81" si="146">AJ80*(1+$C$13)^(AJ$18-2018)</f>
        <v>14.368520225318559</v>
      </c>
    </row>
  </sheetData>
  <pageMargins left="0.7" right="0.7" top="1" bottom="0.5" header="0.3" footer="0.3"/>
  <pageSetup orientation="portrait" r:id="rId1"/>
  <headerFooter>
    <oddHeader>&amp;RDocket No. E002/RP-19-368
SC IR No. 97
Attachment D -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5CA1C-58A8-4698-96F0-CFE65E1A79F6}">
  <sheetPr codeName="Sheet5">
    <tabColor rgb="FFF6A01A"/>
  </sheetPr>
  <dimension ref="H5:CD140"/>
  <sheetViews>
    <sheetView zoomScale="54" zoomScaleNormal="100" workbookViewId="0">
      <selection activeCell="O19" sqref="O19"/>
    </sheetView>
  </sheetViews>
  <sheetFormatPr defaultColWidth="8.88671875" defaultRowHeight="14.4" x14ac:dyDescent="0.3"/>
  <cols>
    <col min="1" max="1" width="3.44140625" customWidth="1"/>
    <col min="2" max="2" width="4" customWidth="1"/>
    <col min="3" max="3" width="3.88671875" customWidth="1"/>
    <col min="4" max="5" width="3.6640625" customWidth="1"/>
    <col min="6" max="6" width="4" customWidth="1"/>
    <col min="7" max="7" width="4.109375" customWidth="1"/>
    <col min="10" max="10" width="36.44140625" customWidth="1"/>
    <col min="11" max="11" width="32" customWidth="1"/>
    <col min="50" max="50" width="14.88671875" bestFit="1" customWidth="1"/>
  </cols>
  <sheetData>
    <row r="5" spans="8:82" ht="28.5" customHeight="1" x14ac:dyDescent="0.3">
      <c r="H5" s="67" t="s">
        <v>0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8:82" ht="22.5" customHeight="1" thickBot="1" x14ac:dyDescent="0.35"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AW6" s="32" t="s">
        <v>52</v>
      </c>
    </row>
    <row r="7" spans="8:82" ht="15" thickBot="1" x14ac:dyDescent="0.35">
      <c r="J7" s="1" t="s">
        <v>1</v>
      </c>
    </row>
    <row r="8" spans="8:82" x14ac:dyDescent="0.3">
      <c r="J8" t="s">
        <v>2</v>
      </c>
      <c r="AW8" s="29" t="s">
        <v>3</v>
      </c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</row>
    <row r="9" spans="8:82" x14ac:dyDescent="0.3">
      <c r="L9">
        <v>2018</v>
      </c>
      <c r="M9">
        <v>2019</v>
      </c>
      <c r="N9">
        <v>2020</v>
      </c>
      <c r="O9">
        <v>2021</v>
      </c>
      <c r="P9">
        <v>2022</v>
      </c>
      <c r="Q9">
        <v>2023</v>
      </c>
      <c r="R9">
        <v>2024</v>
      </c>
      <c r="S9">
        <v>2025</v>
      </c>
      <c r="T9">
        <v>2026</v>
      </c>
      <c r="U9">
        <v>2027</v>
      </c>
      <c r="V9">
        <v>2028</v>
      </c>
      <c r="W9">
        <v>2029</v>
      </c>
      <c r="X9">
        <v>2030</v>
      </c>
      <c r="Y9">
        <v>2031</v>
      </c>
      <c r="Z9">
        <v>2032</v>
      </c>
      <c r="AA9">
        <v>2033</v>
      </c>
      <c r="AB9">
        <v>2034</v>
      </c>
      <c r="AC9">
        <v>2035</v>
      </c>
      <c r="AD9">
        <v>2036</v>
      </c>
      <c r="AE9">
        <v>2037</v>
      </c>
      <c r="AF9">
        <v>2038</v>
      </c>
      <c r="AG9">
        <v>2039</v>
      </c>
      <c r="AH9">
        <v>2040</v>
      </c>
      <c r="AI9">
        <v>2041</v>
      </c>
      <c r="AJ9">
        <v>2042</v>
      </c>
      <c r="AK9">
        <v>2043</v>
      </c>
      <c r="AL9">
        <v>2044</v>
      </c>
      <c r="AM9">
        <v>2045</v>
      </c>
      <c r="AN9">
        <v>2046</v>
      </c>
      <c r="AO9">
        <v>2047</v>
      </c>
      <c r="AP9">
        <v>2048</v>
      </c>
      <c r="AQ9">
        <v>2049</v>
      </c>
      <c r="AR9">
        <v>2050</v>
      </c>
      <c r="AW9" s="30"/>
      <c r="AX9" s="30">
        <v>2018</v>
      </c>
      <c r="AY9" s="30">
        <v>2019</v>
      </c>
      <c r="AZ9" s="30">
        <v>2020</v>
      </c>
      <c r="BA9" s="30">
        <v>2021</v>
      </c>
      <c r="BB9" s="30">
        <v>2022</v>
      </c>
      <c r="BC9" s="30">
        <v>2023</v>
      </c>
      <c r="BD9" s="30">
        <v>2024</v>
      </c>
      <c r="BE9" s="30">
        <v>2025</v>
      </c>
      <c r="BF9" s="30">
        <v>2026</v>
      </c>
      <c r="BG9" s="30">
        <v>2027</v>
      </c>
      <c r="BH9" s="30">
        <v>2028</v>
      </c>
      <c r="BI9" s="30">
        <v>2029</v>
      </c>
      <c r="BJ9" s="30">
        <v>2030</v>
      </c>
      <c r="BK9" s="30">
        <v>2031</v>
      </c>
      <c r="BL9" s="30">
        <v>2032</v>
      </c>
      <c r="BM9" s="30">
        <v>2033</v>
      </c>
      <c r="BN9" s="30">
        <v>2034</v>
      </c>
      <c r="BO9" s="30">
        <v>2035</v>
      </c>
      <c r="BP9" s="30">
        <v>2036</v>
      </c>
      <c r="BQ9" s="30">
        <v>2037</v>
      </c>
      <c r="BR9" s="30">
        <v>2038</v>
      </c>
      <c r="BS9" s="30">
        <v>2039</v>
      </c>
      <c r="BT9" s="30">
        <v>2040</v>
      </c>
      <c r="BU9" s="30">
        <v>2041</v>
      </c>
      <c r="BV9" s="30">
        <v>2042</v>
      </c>
      <c r="BW9" s="30">
        <v>2043</v>
      </c>
      <c r="BX9" s="30">
        <v>2044</v>
      </c>
      <c r="BY9" s="30">
        <v>2045</v>
      </c>
      <c r="BZ9" s="30">
        <v>2046</v>
      </c>
      <c r="CA9" s="30">
        <v>2047</v>
      </c>
      <c r="CB9" s="30">
        <v>2048</v>
      </c>
      <c r="CC9" s="30">
        <v>2049</v>
      </c>
      <c r="CD9" s="30">
        <v>2050</v>
      </c>
    </row>
    <row r="10" spans="8:82" ht="15" customHeight="1" x14ac:dyDescent="0.3">
      <c r="H10" s="68" t="s">
        <v>4</v>
      </c>
      <c r="J10" s="65" t="s">
        <v>5</v>
      </c>
      <c r="K10" s="3" t="s">
        <v>6</v>
      </c>
      <c r="L10" s="4">
        <f t="shared" ref="L10:AA12" si="0">AX10*4+AX20</f>
        <v>1633.3913360754739</v>
      </c>
      <c r="M10" s="4">
        <f t="shared" si="0"/>
        <v>1544</v>
      </c>
      <c r="N10" s="4">
        <f t="shared" si="0"/>
        <v>1202.5639796527782</v>
      </c>
      <c r="O10" s="4">
        <f t="shared" si="0"/>
        <v>1117.9212930958715</v>
      </c>
      <c r="P10" s="4">
        <f t="shared" si="0"/>
        <v>1033.2786065389648</v>
      </c>
      <c r="Q10" s="4">
        <f t="shared" si="0"/>
        <v>948.63591998205811</v>
      </c>
      <c r="R10" s="4">
        <f t="shared" si="0"/>
        <v>863.9932334251514</v>
      </c>
      <c r="S10" s="4">
        <f t="shared" si="0"/>
        <v>779.35054686824492</v>
      </c>
      <c r="T10" s="4">
        <f t="shared" si="0"/>
        <v>736.9615905312719</v>
      </c>
      <c r="U10" s="4">
        <f t="shared" si="0"/>
        <v>694.57263419429864</v>
      </c>
      <c r="V10" s="4">
        <f t="shared" si="0"/>
        <v>652.18367785732562</v>
      </c>
      <c r="W10" s="4">
        <f t="shared" si="0"/>
        <v>609.79472152035237</v>
      </c>
      <c r="X10" s="4">
        <f t="shared" si="0"/>
        <v>567.40576518337912</v>
      </c>
      <c r="Y10" s="4">
        <f t="shared" si="0"/>
        <v>556.30434803848686</v>
      </c>
      <c r="Z10" s="4">
        <f t="shared" si="0"/>
        <v>545.20293089359461</v>
      </c>
      <c r="AA10" s="4">
        <f t="shared" si="0"/>
        <v>534.10151374870236</v>
      </c>
      <c r="AB10" s="4">
        <f t="shared" ref="AB10:AQ12" si="1">BN10*4+BN20</f>
        <v>523.00009660381011</v>
      </c>
      <c r="AC10" s="4">
        <f t="shared" si="1"/>
        <v>511.89867945891791</v>
      </c>
      <c r="AD10" s="4">
        <f t="shared" si="1"/>
        <v>500.79726231402572</v>
      </c>
      <c r="AE10" s="4">
        <f t="shared" si="1"/>
        <v>489.69584516913346</v>
      </c>
      <c r="AF10" s="4">
        <f t="shared" si="1"/>
        <v>478.59442802424121</v>
      </c>
      <c r="AG10" s="4">
        <f t="shared" si="1"/>
        <v>467.49301087934896</v>
      </c>
      <c r="AH10" s="4">
        <f t="shared" si="1"/>
        <v>456.39159373445676</v>
      </c>
      <c r="AI10" s="4">
        <f t="shared" si="1"/>
        <v>445.29017658956451</v>
      </c>
      <c r="AJ10" s="4">
        <f t="shared" si="1"/>
        <v>434.18875944467231</v>
      </c>
      <c r="AK10" s="4">
        <f t="shared" si="1"/>
        <v>423.08734229978006</v>
      </c>
      <c r="AL10" s="4">
        <f t="shared" si="1"/>
        <v>411.98592515488781</v>
      </c>
      <c r="AM10" s="4">
        <f t="shared" si="1"/>
        <v>400.88450800999556</v>
      </c>
      <c r="AN10" s="4">
        <f t="shared" si="1"/>
        <v>389.78309086510336</v>
      </c>
      <c r="AO10" s="4">
        <f t="shared" si="1"/>
        <v>378.68167372021117</v>
      </c>
      <c r="AP10" s="4">
        <f t="shared" si="1"/>
        <v>367.58025657531897</v>
      </c>
      <c r="AQ10" s="4">
        <f t="shared" si="1"/>
        <v>356.47883943042677</v>
      </c>
      <c r="AR10" s="4">
        <f t="shared" ref="AP10:AR12" si="2">CD10*4+CD20</f>
        <v>345.3774222855352</v>
      </c>
      <c r="AW10" s="30" t="s">
        <v>7</v>
      </c>
      <c r="AX10" s="31">
        <f>AX11</f>
        <v>335.35301394813803</v>
      </c>
      <c r="AY10" s="31">
        <v>317</v>
      </c>
      <c r="AZ10" s="31">
        <v>246.89946991575823</v>
      </c>
      <c r="BA10" s="31">
        <v>229.52140538302547</v>
      </c>
      <c r="BB10" s="31">
        <v>212.14334085029265</v>
      </c>
      <c r="BC10" s="31">
        <v>194.76527631755985</v>
      </c>
      <c r="BD10" s="31">
        <v>177.38721178482706</v>
      </c>
      <c r="BE10" s="31">
        <v>160.00914725209432</v>
      </c>
      <c r="BF10" s="31">
        <v>151.3062332891277</v>
      </c>
      <c r="BG10" s="31">
        <v>142.60331932616106</v>
      </c>
      <c r="BH10" s="31">
        <v>133.90040536319444</v>
      </c>
      <c r="BI10" s="31">
        <v>125.19749140022778</v>
      </c>
      <c r="BJ10" s="31">
        <v>116.49457743726111</v>
      </c>
      <c r="BK10" s="31">
        <v>114.21533570479296</v>
      </c>
      <c r="BL10" s="31">
        <v>111.9360939723248</v>
      </c>
      <c r="BM10" s="31">
        <v>109.65685223985665</v>
      </c>
      <c r="BN10" s="31">
        <v>107.37761050738848</v>
      </c>
      <c r="BO10" s="31">
        <v>105.09836877492032</v>
      </c>
      <c r="BP10" s="31">
        <v>102.81912704245217</v>
      </c>
      <c r="BQ10" s="31">
        <v>100.539885309984</v>
      </c>
      <c r="BR10" s="31">
        <v>98.26064357751585</v>
      </c>
      <c r="BS10" s="31">
        <v>95.981401845047685</v>
      </c>
      <c r="BT10" s="31">
        <v>93.702160112579534</v>
      </c>
      <c r="BU10" s="31">
        <v>91.422918380111369</v>
      </c>
      <c r="BV10" s="31">
        <v>89.143676647643218</v>
      </c>
      <c r="BW10" s="31">
        <v>86.864434915175053</v>
      </c>
      <c r="BX10" s="31">
        <v>84.585193182706888</v>
      </c>
      <c r="BY10" s="31">
        <v>82.305951450238723</v>
      </c>
      <c r="BZ10" s="31">
        <v>80.026709717770572</v>
      </c>
      <c r="CA10" s="31">
        <v>77.747467985302421</v>
      </c>
      <c r="CB10" s="31">
        <v>75.46822625283427</v>
      </c>
      <c r="CC10" s="31">
        <v>73.18898452036612</v>
      </c>
      <c r="CD10" s="31">
        <v>70.909742787898097</v>
      </c>
    </row>
    <row r="11" spans="8:82" x14ac:dyDescent="0.3">
      <c r="H11" s="68"/>
      <c r="J11" s="66"/>
      <c r="K11" s="5" t="s">
        <v>8</v>
      </c>
      <c r="L11" s="4">
        <f t="shared" si="0"/>
        <v>1633.3913360754739</v>
      </c>
      <c r="M11" s="4">
        <f t="shared" si="0"/>
        <v>1544</v>
      </c>
      <c r="N11" s="4">
        <f t="shared" si="0"/>
        <v>1454.6086639245261</v>
      </c>
      <c r="O11" s="4">
        <f t="shared" si="0"/>
        <v>1364.5016550659996</v>
      </c>
      <c r="P11" s="4">
        <f t="shared" si="0"/>
        <v>1274.394646207475</v>
      </c>
      <c r="Q11" s="4">
        <f t="shared" si="0"/>
        <v>1184.2876373489507</v>
      </c>
      <c r="R11" s="4">
        <f t="shared" si="0"/>
        <v>1094.1806284904262</v>
      </c>
      <c r="S11" s="4">
        <f t="shared" si="0"/>
        <v>1004.0736196319019</v>
      </c>
      <c r="T11" s="4">
        <f t="shared" si="0"/>
        <v>966.70548255321955</v>
      </c>
      <c r="U11" s="4">
        <f t="shared" si="0"/>
        <v>929.33734547453719</v>
      </c>
      <c r="V11" s="4">
        <f t="shared" si="0"/>
        <v>891.96920839585493</v>
      </c>
      <c r="W11" s="4">
        <f t="shared" si="0"/>
        <v>854.60107131717268</v>
      </c>
      <c r="X11" s="4">
        <f t="shared" si="0"/>
        <v>817.23293423848986</v>
      </c>
      <c r="Y11" s="4">
        <f t="shared" si="0"/>
        <v>807.01752256050895</v>
      </c>
      <c r="Z11" s="4">
        <f t="shared" si="0"/>
        <v>796.80211088252781</v>
      </c>
      <c r="AA11" s="4">
        <f t="shared" si="0"/>
        <v>786.58669920454668</v>
      </c>
      <c r="AB11" s="4">
        <f t="shared" si="1"/>
        <v>776.37128752656554</v>
      </c>
      <c r="AC11" s="4">
        <f t="shared" si="1"/>
        <v>766.1558758485844</v>
      </c>
      <c r="AD11" s="4">
        <f t="shared" si="1"/>
        <v>755.94046417060349</v>
      </c>
      <c r="AE11" s="4">
        <f t="shared" si="1"/>
        <v>745.72505249262235</v>
      </c>
      <c r="AF11" s="4">
        <f t="shared" si="1"/>
        <v>735.50964081464122</v>
      </c>
      <c r="AG11" s="4">
        <f t="shared" si="1"/>
        <v>725.29422913666008</v>
      </c>
      <c r="AH11" s="4">
        <f t="shared" si="1"/>
        <v>715.07881745867917</v>
      </c>
      <c r="AI11" s="4">
        <f t="shared" si="1"/>
        <v>704.86340578069803</v>
      </c>
      <c r="AJ11" s="4">
        <f t="shared" si="1"/>
        <v>694.64799410271689</v>
      </c>
      <c r="AK11" s="4">
        <f t="shared" si="1"/>
        <v>684.43258242473576</v>
      </c>
      <c r="AL11" s="4">
        <f t="shared" si="1"/>
        <v>674.21717074675485</v>
      </c>
      <c r="AM11" s="4">
        <f t="shared" si="1"/>
        <v>664.00175906877371</v>
      </c>
      <c r="AN11" s="4">
        <f t="shared" si="1"/>
        <v>653.78634739079257</v>
      </c>
      <c r="AO11" s="4">
        <f t="shared" si="1"/>
        <v>643.57093571281143</v>
      </c>
      <c r="AP11" s="4">
        <f t="shared" si="2"/>
        <v>633.3555240348303</v>
      </c>
      <c r="AQ11" s="4">
        <f t="shared" si="2"/>
        <v>623.14011235684927</v>
      </c>
      <c r="AR11" s="4">
        <f t="shared" si="2"/>
        <v>612.92470067886757</v>
      </c>
      <c r="AW11" s="30" t="s">
        <v>9</v>
      </c>
      <c r="AX11" s="31">
        <f>AY11+AY11-AZ11</f>
        <v>335.35301394813803</v>
      </c>
      <c r="AY11" s="31">
        <v>317</v>
      </c>
      <c r="AZ11" s="31">
        <v>298.64698605186197</v>
      </c>
      <c r="BA11" s="31">
        <v>280.14703669424989</v>
      </c>
      <c r="BB11" s="31">
        <v>261.64708733663832</v>
      </c>
      <c r="BC11" s="31">
        <v>243.14713797902678</v>
      </c>
      <c r="BD11" s="31">
        <v>224.64718862141524</v>
      </c>
      <c r="BE11" s="31">
        <v>206.1472392638037</v>
      </c>
      <c r="BF11" s="31">
        <v>198.47515412524004</v>
      </c>
      <c r="BG11" s="31">
        <v>190.80306898667635</v>
      </c>
      <c r="BH11" s="31">
        <v>183.13098384811269</v>
      </c>
      <c r="BI11" s="31">
        <v>175.45889870954906</v>
      </c>
      <c r="BJ11" s="31">
        <v>167.78681357098529</v>
      </c>
      <c r="BK11" s="31">
        <v>165.68947840134803</v>
      </c>
      <c r="BL11" s="31">
        <v>163.59214323171071</v>
      </c>
      <c r="BM11" s="31">
        <v>161.49480806207339</v>
      </c>
      <c r="BN11" s="31">
        <v>159.39747289243607</v>
      </c>
      <c r="BO11" s="31">
        <v>157.30013772279875</v>
      </c>
      <c r="BP11" s="31">
        <v>155.20280255316146</v>
      </c>
      <c r="BQ11" s="31">
        <v>153.10546738352414</v>
      </c>
      <c r="BR11" s="31">
        <v>151.00813221388682</v>
      </c>
      <c r="BS11" s="31">
        <v>148.91079704424951</v>
      </c>
      <c r="BT11" s="31">
        <v>146.81346187461224</v>
      </c>
      <c r="BU11" s="31">
        <v>144.71612670497493</v>
      </c>
      <c r="BV11" s="31">
        <v>142.61879153533761</v>
      </c>
      <c r="BW11" s="31">
        <v>140.52145636570029</v>
      </c>
      <c r="BX11" s="31">
        <v>138.424121196063</v>
      </c>
      <c r="BY11" s="31">
        <v>136.32678602642568</v>
      </c>
      <c r="BZ11" s="31">
        <v>134.22945085678836</v>
      </c>
      <c r="CA11" s="31">
        <v>132.13211568715104</v>
      </c>
      <c r="CB11" s="31">
        <v>130.03478051751372</v>
      </c>
      <c r="CC11" s="31">
        <v>127.93744534787645</v>
      </c>
      <c r="CD11" s="31">
        <v>125.840110178239</v>
      </c>
    </row>
    <row r="12" spans="8:82" x14ac:dyDescent="0.3">
      <c r="H12" s="68"/>
      <c r="J12" s="66"/>
      <c r="K12" s="6" t="s">
        <v>10</v>
      </c>
      <c r="L12" s="4">
        <f t="shared" si="0"/>
        <v>1633.3913360754739</v>
      </c>
      <c r="M12" s="4">
        <f t="shared" si="0"/>
        <v>1544</v>
      </c>
      <c r="N12" s="4">
        <f t="shared" si="0"/>
        <v>1503.542245989305</v>
      </c>
      <c r="O12" s="4">
        <f t="shared" si="0"/>
        <v>1463.0844919786098</v>
      </c>
      <c r="P12" s="4">
        <f t="shared" si="0"/>
        <v>1422.6267379679143</v>
      </c>
      <c r="Q12" s="4">
        <f t="shared" si="0"/>
        <v>1382.1689839572191</v>
      </c>
      <c r="R12" s="4">
        <f t="shared" si="0"/>
        <v>1341.7112299465241</v>
      </c>
      <c r="S12" s="4">
        <f t="shared" si="0"/>
        <v>1301.2534759358286</v>
      </c>
      <c r="T12" s="4">
        <f t="shared" si="0"/>
        <v>1270.8688770053477</v>
      </c>
      <c r="U12" s="4">
        <f t="shared" si="0"/>
        <v>1240.4842780748663</v>
      </c>
      <c r="V12" s="4">
        <f t="shared" si="0"/>
        <v>1210.0996791443849</v>
      </c>
      <c r="W12" s="4">
        <f t="shared" si="0"/>
        <v>1179.7150802139038</v>
      </c>
      <c r="X12" s="4">
        <f t="shared" si="0"/>
        <v>1149.3304812834224</v>
      </c>
      <c r="Y12" s="4">
        <f t="shared" si="0"/>
        <v>1134.9638502673797</v>
      </c>
      <c r="Z12" s="4">
        <f t="shared" si="0"/>
        <v>1120.597219251337</v>
      </c>
      <c r="AA12" s="4">
        <f t="shared" si="0"/>
        <v>1106.2305882352944</v>
      </c>
      <c r="AB12" s="4">
        <f t="shared" si="1"/>
        <v>1091.8639572192515</v>
      </c>
      <c r="AC12" s="4">
        <f t="shared" si="1"/>
        <v>1077.4973262032088</v>
      </c>
      <c r="AD12" s="4">
        <f t="shared" si="1"/>
        <v>1063.1306951871661</v>
      </c>
      <c r="AE12" s="4">
        <f t="shared" si="1"/>
        <v>1048.7640641711234</v>
      </c>
      <c r="AF12" s="4">
        <f t="shared" si="1"/>
        <v>1034.3974331550805</v>
      </c>
      <c r="AG12" s="4">
        <f t="shared" si="1"/>
        <v>1020.0308021390377</v>
      </c>
      <c r="AH12" s="4">
        <f t="shared" si="1"/>
        <v>1005.6641711229951</v>
      </c>
      <c r="AI12" s="4">
        <f t="shared" si="1"/>
        <v>991.29754010695228</v>
      </c>
      <c r="AJ12" s="4">
        <f t="shared" si="1"/>
        <v>976.93090909090961</v>
      </c>
      <c r="AK12" s="4">
        <f t="shared" si="1"/>
        <v>962.56427807486682</v>
      </c>
      <c r="AL12" s="4">
        <f t="shared" si="1"/>
        <v>948.19764705882415</v>
      </c>
      <c r="AM12" s="4">
        <f t="shared" si="1"/>
        <v>933.83101604278136</v>
      </c>
      <c r="AN12" s="4">
        <f t="shared" si="1"/>
        <v>919.46438502673857</v>
      </c>
      <c r="AO12" s="4">
        <f t="shared" si="1"/>
        <v>905.09775401069578</v>
      </c>
      <c r="AP12" s="4">
        <f t="shared" si="2"/>
        <v>890.73112299465311</v>
      </c>
      <c r="AQ12" s="4">
        <f t="shared" si="2"/>
        <v>876.36449197861043</v>
      </c>
      <c r="AR12" s="4">
        <f t="shared" si="2"/>
        <v>861.99786096256707</v>
      </c>
      <c r="AW12" s="30" t="s">
        <v>11</v>
      </c>
      <c r="AX12" s="31">
        <f>AX11</f>
        <v>335.35301394813803</v>
      </c>
      <c r="AY12" s="31">
        <v>317</v>
      </c>
      <c r="AZ12" s="31">
        <v>308.69358288770059</v>
      </c>
      <c r="BA12" s="31">
        <v>300.38716577540112</v>
      </c>
      <c r="BB12" s="31">
        <v>292.08074866310159</v>
      </c>
      <c r="BC12" s="31">
        <v>283.77433155080212</v>
      </c>
      <c r="BD12" s="31">
        <v>275.4679144385027</v>
      </c>
      <c r="BE12" s="31">
        <v>267.16149732620318</v>
      </c>
      <c r="BF12" s="31">
        <v>260.92320855614975</v>
      </c>
      <c r="BG12" s="31">
        <v>254.68491978609626</v>
      </c>
      <c r="BH12" s="31">
        <v>248.44663101604277</v>
      </c>
      <c r="BI12" s="31">
        <v>242.20834224598931</v>
      </c>
      <c r="BJ12" s="31">
        <v>235.97005347593583</v>
      </c>
      <c r="BK12" s="31">
        <v>233.02042780748664</v>
      </c>
      <c r="BL12" s="31">
        <v>230.07080213903745</v>
      </c>
      <c r="BM12" s="31">
        <v>227.12117647058827</v>
      </c>
      <c r="BN12" s="31">
        <v>224.17155080213905</v>
      </c>
      <c r="BO12" s="31">
        <v>221.22192513368989</v>
      </c>
      <c r="BP12" s="31">
        <v>218.27229946524071</v>
      </c>
      <c r="BQ12" s="31">
        <v>215.32267379679152</v>
      </c>
      <c r="BR12" s="31">
        <v>212.3730481283423</v>
      </c>
      <c r="BS12" s="31">
        <v>209.42342245989312</v>
      </c>
      <c r="BT12" s="31">
        <v>206.47379679144393</v>
      </c>
      <c r="BU12" s="31">
        <v>203.52417112299474</v>
      </c>
      <c r="BV12" s="31">
        <v>200.57454545454556</v>
      </c>
      <c r="BW12" s="31">
        <v>197.62491978609637</v>
      </c>
      <c r="BX12" s="31">
        <v>194.67529411764718</v>
      </c>
      <c r="BY12" s="31">
        <v>191.725668449198</v>
      </c>
      <c r="BZ12" s="31">
        <v>188.77604278074878</v>
      </c>
      <c r="CA12" s="31">
        <v>185.82641711229959</v>
      </c>
      <c r="CB12" s="31">
        <v>182.87679144385041</v>
      </c>
      <c r="CC12" s="31">
        <v>179.92716577540122</v>
      </c>
      <c r="CD12" s="31">
        <v>176.97754010695192</v>
      </c>
    </row>
    <row r="13" spans="8:82" x14ac:dyDescent="0.3">
      <c r="H13" s="68"/>
      <c r="J13" s="67"/>
      <c r="K13" s="3" t="s">
        <v>12</v>
      </c>
      <c r="L13" s="4">
        <f t="shared" ref="L13:AA15" si="3">AX10*2+AX20</f>
        <v>962.68530817919782</v>
      </c>
      <c r="M13" s="4">
        <f t="shared" si="3"/>
        <v>910</v>
      </c>
      <c r="N13" s="4">
        <f t="shared" si="3"/>
        <v>708.76503982126178</v>
      </c>
      <c r="O13" s="4">
        <f t="shared" si="3"/>
        <v>658.87848232982071</v>
      </c>
      <c r="P13" s="4">
        <f t="shared" si="3"/>
        <v>608.99192483837953</v>
      </c>
      <c r="Q13" s="4">
        <f t="shared" si="3"/>
        <v>559.10536734693835</v>
      </c>
      <c r="R13" s="4">
        <f t="shared" si="3"/>
        <v>509.21880985549723</v>
      </c>
      <c r="S13" s="4">
        <f t="shared" si="3"/>
        <v>459.33225236405622</v>
      </c>
      <c r="T13" s="4">
        <f t="shared" si="3"/>
        <v>434.34912395301643</v>
      </c>
      <c r="U13" s="4">
        <f t="shared" si="3"/>
        <v>409.36599554197653</v>
      </c>
      <c r="V13" s="4">
        <f t="shared" si="3"/>
        <v>384.38286713093669</v>
      </c>
      <c r="W13" s="4">
        <f t="shared" si="3"/>
        <v>359.39973871989679</v>
      </c>
      <c r="X13" s="4">
        <f t="shared" si="3"/>
        <v>334.41661030885683</v>
      </c>
      <c r="Y13" s="4">
        <f t="shared" si="3"/>
        <v>327.87367662890091</v>
      </c>
      <c r="Z13" s="4">
        <f t="shared" si="3"/>
        <v>321.33074294894504</v>
      </c>
      <c r="AA13" s="4">
        <f t="shared" si="3"/>
        <v>314.78780926898912</v>
      </c>
      <c r="AB13" s="4">
        <f t="shared" ref="AB13:AQ15" si="4">BN10*2+BN20</f>
        <v>308.2448755890332</v>
      </c>
      <c r="AC13" s="4">
        <f t="shared" si="4"/>
        <v>301.70194190907728</v>
      </c>
      <c r="AD13" s="4">
        <f t="shared" si="4"/>
        <v>295.15900822912135</v>
      </c>
      <c r="AE13" s="4">
        <f t="shared" si="4"/>
        <v>288.61607454916543</v>
      </c>
      <c r="AF13" s="4">
        <f t="shared" si="4"/>
        <v>282.07314086920951</v>
      </c>
      <c r="AG13" s="4">
        <f t="shared" si="4"/>
        <v>275.53020718925359</v>
      </c>
      <c r="AH13" s="4">
        <f t="shared" si="4"/>
        <v>268.98727350929772</v>
      </c>
      <c r="AI13" s="4">
        <f t="shared" si="4"/>
        <v>262.4443398293418</v>
      </c>
      <c r="AJ13" s="4">
        <f t="shared" si="4"/>
        <v>255.90140614938588</v>
      </c>
      <c r="AK13" s="4">
        <f t="shared" si="4"/>
        <v>249.35847246942996</v>
      </c>
      <c r="AL13" s="4">
        <f t="shared" si="4"/>
        <v>242.81553878947403</v>
      </c>
      <c r="AM13" s="4">
        <f t="shared" si="4"/>
        <v>236.27260510951811</v>
      </c>
      <c r="AN13" s="4">
        <f t="shared" si="4"/>
        <v>229.72967142956222</v>
      </c>
      <c r="AO13" s="4">
        <f t="shared" si="4"/>
        <v>223.18673774960632</v>
      </c>
      <c r="AP13" s="4">
        <f t="shared" si="4"/>
        <v>216.64380406965046</v>
      </c>
      <c r="AQ13" s="4">
        <f t="shared" si="4"/>
        <v>210.10087038969453</v>
      </c>
      <c r="AR13" s="4">
        <f t="shared" ref="AP13:AR15" si="5">CD10*2+CD20</f>
        <v>203.55793670973901</v>
      </c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</row>
    <row r="14" spans="8:82" x14ac:dyDescent="0.3">
      <c r="H14" s="68"/>
      <c r="J14" s="67"/>
      <c r="K14" s="5" t="s">
        <v>13</v>
      </c>
      <c r="L14" s="4">
        <f t="shared" si="3"/>
        <v>962.68530817919782</v>
      </c>
      <c r="M14" s="4">
        <f t="shared" si="3"/>
        <v>910</v>
      </c>
      <c r="N14" s="4">
        <f t="shared" si="3"/>
        <v>857.31469182080218</v>
      </c>
      <c r="O14" s="4">
        <f t="shared" si="3"/>
        <v>804.20758167749966</v>
      </c>
      <c r="P14" s="4">
        <f t="shared" si="3"/>
        <v>751.10047153419839</v>
      </c>
      <c r="Q14" s="4">
        <f t="shared" si="3"/>
        <v>697.99336139089701</v>
      </c>
      <c r="R14" s="4">
        <f t="shared" si="3"/>
        <v>644.88625124759574</v>
      </c>
      <c r="S14" s="4">
        <f t="shared" si="3"/>
        <v>591.77914110429447</v>
      </c>
      <c r="T14" s="4">
        <f t="shared" si="3"/>
        <v>569.75517430273953</v>
      </c>
      <c r="U14" s="4">
        <f t="shared" si="3"/>
        <v>547.73120750118449</v>
      </c>
      <c r="V14" s="4">
        <f t="shared" si="3"/>
        <v>525.70724069962955</v>
      </c>
      <c r="W14" s="4">
        <f t="shared" si="3"/>
        <v>503.68327389807462</v>
      </c>
      <c r="X14" s="4">
        <f t="shared" si="3"/>
        <v>481.65930709651929</v>
      </c>
      <c r="Y14" s="4">
        <f t="shared" si="3"/>
        <v>475.6385657578129</v>
      </c>
      <c r="Z14" s="4">
        <f t="shared" si="3"/>
        <v>469.61782441910646</v>
      </c>
      <c r="AA14" s="4">
        <f t="shared" si="3"/>
        <v>463.59708308039995</v>
      </c>
      <c r="AB14" s="4">
        <f t="shared" si="4"/>
        <v>457.57634174169345</v>
      </c>
      <c r="AC14" s="4">
        <f t="shared" si="4"/>
        <v>451.55560040298695</v>
      </c>
      <c r="AD14" s="4">
        <f t="shared" si="4"/>
        <v>445.53485906428057</v>
      </c>
      <c r="AE14" s="4">
        <f t="shared" si="4"/>
        <v>439.51411772557401</v>
      </c>
      <c r="AF14" s="4">
        <f t="shared" si="4"/>
        <v>433.49337638686757</v>
      </c>
      <c r="AG14" s="4">
        <f t="shared" si="4"/>
        <v>427.47263504816107</v>
      </c>
      <c r="AH14" s="4">
        <f t="shared" si="4"/>
        <v>421.45189370945468</v>
      </c>
      <c r="AI14" s="4">
        <f t="shared" si="4"/>
        <v>415.43115237074824</v>
      </c>
      <c r="AJ14" s="4">
        <f t="shared" si="4"/>
        <v>409.41041103204168</v>
      </c>
      <c r="AK14" s="4">
        <f t="shared" si="4"/>
        <v>403.38966969333524</v>
      </c>
      <c r="AL14" s="4">
        <f t="shared" si="4"/>
        <v>397.36892835462879</v>
      </c>
      <c r="AM14" s="4">
        <f t="shared" si="4"/>
        <v>391.34818701592229</v>
      </c>
      <c r="AN14" s="4">
        <f t="shared" si="4"/>
        <v>385.32744567721579</v>
      </c>
      <c r="AO14" s="4">
        <f t="shared" si="4"/>
        <v>379.30670433850935</v>
      </c>
      <c r="AP14" s="4">
        <f t="shared" si="5"/>
        <v>373.28596299980279</v>
      </c>
      <c r="AQ14" s="4">
        <f t="shared" si="5"/>
        <v>367.2652216610964</v>
      </c>
      <c r="AR14" s="4">
        <f t="shared" si="5"/>
        <v>361.24448032238956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</row>
    <row r="15" spans="8:82" x14ac:dyDescent="0.3">
      <c r="H15" s="68"/>
      <c r="J15" s="67"/>
      <c r="K15" s="6" t="s">
        <v>14</v>
      </c>
      <c r="L15" s="4">
        <f t="shared" si="3"/>
        <v>962.68530817919782</v>
      </c>
      <c r="M15" s="4">
        <f t="shared" si="3"/>
        <v>910</v>
      </c>
      <c r="N15" s="4">
        <f t="shared" si="3"/>
        <v>886.15508021390383</v>
      </c>
      <c r="O15" s="4">
        <f t="shared" si="3"/>
        <v>862.31016042780766</v>
      </c>
      <c r="P15" s="4">
        <f t="shared" si="3"/>
        <v>838.46524064171126</v>
      </c>
      <c r="Q15" s="4">
        <f t="shared" si="3"/>
        <v>814.62032085561486</v>
      </c>
      <c r="R15" s="4">
        <f t="shared" si="3"/>
        <v>790.77540106951881</v>
      </c>
      <c r="S15" s="4">
        <f t="shared" si="3"/>
        <v>766.93048128342241</v>
      </c>
      <c r="T15" s="4">
        <f t="shared" si="3"/>
        <v>749.02245989304811</v>
      </c>
      <c r="U15" s="4">
        <f t="shared" si="3"/>
        <v>731.11443850267381</v>
      </c>
      <c r="V15" s="4">
        <f t="shared" si="3"/>
        <v>713.20641711229939</v>
      </c>
      <c r="W15" s="4">
        <f t="shared" si="3"/>
        <v>695.2983957219252</v>
      </c>
      <c r="X15" s="4">
        <f t="shared" si="3"/>
        <v>677.39037433155079</v>
      </c>
      <c r="Y15" s="4">
        <f t="shared" si="3"/>
        <v>668.92299465240649</v>
      </c>
      <c r="Z15" s="4">
        <f t="shared" si="3"/>
        <v>660.45561497326207</v>
      </c>
      <c r="AA15" s="4">
        <f t="shared" si="3"/>
        <v>651.98823529411777</v>
      </c>
      <c r="AB15" s="4">
        <f t="shared" si="4"/>
        <v>643.52085561497336</v>
      </c>
      <c r="AC15" s="4">
        <f t="shared" si="4"/>
        <v>635.05347593582906</v>
      </c>
      <c r="AD15" s="4">
        <f t="shared" si="4"/>
        <v>626.58609625668464</v>
      </c>
      <c r="AE15" s="4">
        <f t="shared" si="4"/>
        <v>618.11871657754034</v>
      </c>
      <c r="AF15" s="4">
        <f t="shared" si="4"/>
        <v>609.65133689839593</v>
      </c>
      <c r="AG15" s="4">
        <f t="shared" si="4"/>
        <v>601.18395721925151</v>
      </c>
      <c r="AH15" s="4">
        <f t="shared" si="4"/>
        <v>592.71657754010721</v>
      </c>
      <c r="AI15" s="4">
        <f t="shared" si="4"/>
        <v>584.24919786096279</v>
      </c>
      <c r="AJ15" s="4">
        <f t="shared" si="4"/>
        <v>575.78181818181849</v>
      </c>
      <c r="AK15" s="4">
        <f t="shared" si="4"/>
        <v>567.31443850267408</v>
      </c>
      <c r="AL15" s="4">
        <f t="shared" si="4"/>
        <v>558.84705882352978</v>
      </c>
      <c r="AM15" s="4">
        <f t="shared" si="4"/>
        <v>550.37967914438536</v>
      </c>
      <c r="AN15" s="4">
        <f t="shared" si="4"/>
        <v>541.91229946524095</v>
      </c>
      <c r="AO15" s="4">
        <f t="shared" si="4"/>
        <v>533.44491978609665</v>
      </c>
      <c r="AP15" s="4">
        <f t="shared" si="5"/>
        <v>524.97754010695235</v>
      </c>
      <c r="AQ15" s="4">
        <f t="shared" si="5"/>
        <v>516.51016042780793</v>
      </c>
      <c r="AR15" s="4">
        <f t="shared" si="5"/>
        <v>508.04278074866323</v>
      </c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</row>
    <row r="16" spans="8:82" x14ac:dyDescent="0.3">
      <c r="H16" s="68"/>
      <c r="J16" s="7"/>
      <c r="K16" s="5"/>
    </row>
    <row r="17" spans="8:82" x14ac:dyDescent="0.3">
      <c r="H17" s="68"/>
      <c r="J17" s="69" t="s">
        <v>15</v>
      </c>
      <c r="K17" s="3" t="s">
        <v>6</v>
      </c>
      <c r="L17" s="8">
        <f t="shared" ref="L17:AR19" si="6">0.025*L10</f>
        <v>40.834783401886853</v>
      </c>
      <c r="M17" s="8">
        <f t="shared" si="6"/>
        <v>38.6</v>
      </c>
      <c r="N17" s="8">
        <f t="shared" si="6"/>
        <v>30.064099491319457</v>
      </c>
      <c r="O17" s="8">
        <f t="shared" si="6"/>
        <v>27.948032327396788</v>
      </c>
      <c r="P17" s="8">
        <f t="shared" si="6"/>
        <v>25.831965163474123</v>
      </c>
      <c r="Q17" s="8">
        <f t="shared" si="6"/>
        <v>23.715897999551455</v>
      </c>
      <c r="R17" s="8">
        <f t="shared" si="6"/>
        <v>21.599830835628786</v>
      </c>
      <c r="S17" s="8">
        <f t="shared" si="6"/>
        <v>19.483763671706125</v>
      </c>
      <c r="T17" s="8">
        <f t="shared" si="6"/>
        <v>18.424039763281797</v>
      </c>
      <c r="U17" s="8">
        <f t="shared" si="6"/>
        <v>17.364315854857466</v>
      </c>
      <c r="V17" s="8">
        <f t="shared" si="6"/>
        <v>16.304591946433142</v>
      </c>
      <c r="W17" s="8">
        <f t="shared" si="6"/>
        <v>15.244868038008811</v>
      </c>
      <c r="X17" s="8">
        <f t="shared" si="6"/>
        <v>14.185144129584479</v>
      </c>
      <c r="Y17" s="8">
        <f t="shared" si="6"/>
        <v>13.907608700962172</v>
      </c>
      <c r="Z17" s="8">
        <f t="shared" si="6"/>
        <v>13.630073272339866</v>
      </c>
      <c r="AA17" s="8">
        <f t="shared" si="6"/>
        <v>13.35253784371756</v>
      </c>
      <c r="AB17" s="8">
        <f t="shared" si="6"/>
        <v>13.075002415095254</v>
      </c>
      <c r="AC17" s="8">
        <f t="shared" si="6"/>
        <v>12.797466986472948</v>
      </c>
      <c r="AD17" s="8">
        <f t="shared" si="6"/>
        <v>12.519931557850644</v>
      </c>
      <c r="AE17" s="8">
        <f t="shared" si="6"/>
        <v>12.242396129228338</v>
      </c>
      <c r="AF17" s="8">
        <f t="shared" si="6"/>
        <v>11.964860700606032</v>
      </c>
      <c r="AG17" s="8">
        <f t="shared" si="6"/>
        <v>11.687325271983724</v>
      </c>
      <c r="AH17" s="8">
        <f t="shared" si="6"/>
        <v>11.40978984336142</v>
      </c>
      <c r="AI17" s="8">
        <f t="shared" si="6"/>
        <v>11.132254414739114</v>
      </c>
      <c r="AJ17" s="8">
        <f t="shared" si="6"/>
        <v>10.854718986116808</v>
      </c>
      <c r="AK17" s="8">
        <f t="shared" si="6"/>
        <v>10.577183557494502</v>
      </c>
      <c r="AL17" s="8">
        <f t="shared" si="6"/>
        <v>10.299648128872196</v>
      </c>
      <c r="AM17" s="8">
        <f t="shared" si="6"/>
        <v>10.02211270024989</v>
      </c>
      <c r="AN17" s="8">
        <f t="shared" si="6"/>
        <v>9.744577271627584</v>
      </c>
      <c r="AO17" s="8">
        <f t="shared" si="6"/>
        <v>9.4670418430052798</v>
      </c>
      <c r="AP17" s="8">
        <f t="shared" si="6"/>
        <v>9.1895064143829739</v>
      </c>
      <c r="AQ17" s="8">
        <f t="shared" si="6"/>
        <v>8.9119709857606697</v>
      </c>
      <c r="AR17" s="8">
        <f t="shared" si="6"/>
        <v>8.6344355571383797</v>
      </c>
    </row>
    <row r="18" spans="8:82" x14ac:dyDescent="0.3">
      <c r="H18" s="68"/>
      <c r="J18" s="70"/>
      <c r="K18" s="5" t="s">
        <v>8</v>
      </c>
      <c r="L18" s="8">
        <f t="shared" si="6"/>
        <v>40.834783401886853</v>
      </c>
      <c r="M18" s="8">
        <f t="shared" si="6"/>
        <v>38.6</v>
      </c>
      <c r="N18" s="8">
        <f t="shared" si="6"/>
        <v>36.365216598113157</v>
      </c>
      <c r="O18" s="8">
        <f t="shared" si="6"/>
        <v>34.112541376649993</v>
      </c>
      <c r="P18" s="8">
        <f>0.025*P11</f>
        <v>31.859866155186879</v>
      </c>
      <c r="Q18" s="8">
        <f t="shared" si="6"/>
        <v>29.607190933723771</v>
      </c>
      <c r="R18" s="8">
        <f t="shared" si="6"/>
        <v>27.354515712260657</v>
      </c>
      <c r="S18" s="8">
        <f t="shared" si="6"/>
        <v>25.101840490797549</v>
      </c>
      <c r="T18" s="8">
        <f t="shared" si="6"/>
        <v>24.16763706383049</v>
      </c>
      <c r="U18" s="8">
        <f t="shared" si="6"/>
        <v>23.233433636863431</v>
      </c>
      <c r="V18" s="8">
        <f t="shared" si="6"/>
        <v>22.299230209896375</v>
      </c>
      <c r="W18" s="8">
        <f t="shared" si="6"/>
        <v>21.36502678292932</v>
      </c>
      <c r="X18" s="8">
        <f t="shared" si="6"/>
        <v>20.430823355962247</v>
      </c>
      <c r="Y18" s="8">
        <f t="shared" si="6"/>
        <v>20.175438064012724</v>
      </c>
      <c r="Z18" s="8">
        <f t="shared" si="6"/>
        <v>19.920052772063197</v>
      </c>
      <c r="AA18" s="8">
        <f t="shared" si="6"/>
        <v>19.664667480113668</v>
      </c>
      <c r="AB18" s="8">
        <f t="shared" si="6"/>
        <v>19.409282188164141</v>
      </c>
      <c r="AC18" s="8">
        <f t="shared" si="6"/>
        <v>19.153896896214611</v>
      </c>
      <c r="AD18" s="8">
        <f t="shared" si="6"/>
        <v>18.898511604265089</v>
      </c>
      <c r="AE18" s="8">
        <f t="shared" si="6"/>
        <v>18.643126312315559</v>
      </c>
      <c r="AF18" s="8">
        <f t="shared" si="6"/>
        <v>18.387741020366033</v>
      </c>
      <c r="AG18" s="8">
        <f t="shared" si="6"/>
        <v>18.132355728416503</v>
      </c>
      <c r="AH18" s="8">
        <f t="shared" si="6"/>
        <v>17.87697043646698</v>
      </c>
      <c r="AI18" s="8">
        <f t="shared" si="6"/>
        <v>17.62158514451745</v>
      </c>
      <c r="AJ18" s="8">
        <f t="shared" si="6"/>
        <v>17.366199852567924</v>
      </c>
      <c r="AK18" s="8">
        <f t="shared" si="6"/>
        <v>17.110814560618394</v>
      </c>
      <c r="AL18" s="8">
        <f t="shared" si="6"/>
        <v>16.855429268668871</v>
      </c>
      <c r="AM18" s="8">
        <f t="shared" si="6"/>
        <v>16.600043976719345</v>
      </c>
      <c r="AN18" s="8">
        <f t="shared" si="6"/>
        <v>16.344658684769815</v>
      </c>
      <c r="AO18" s="8">
        <f t="shared" si="6"/>
        <v>16.089273392820285</v>
      </c>
      <c r="AP18" s="8">
        <f t="shared" si="6"/>
        <v>15.833888100870759</v>
      </c>
      <c r="AQ18" s="8">
        <f t="shared" si="6"/>
        <v>15.578502808921233</v>
      </c>
      <c r="AR18" s="8">
        <f t="shared" si="6"/>
        <v>15.32311751697169</v>
      </c>
      <c r="AW18" s="2" t="s">
        <v>16</v>
      </c>
    </row>
    <row r="19" spans="8:82" x14ac:dyDescent="0.3">
      <c r="H19" s="68"/>
      <c r="J19" s="70"/>
      <c r="K19" s="6" t="s">
        <v>10</v>
      </c>
      <c r="L19" s="8">
        <f t="shared" si="6"/>
        <v>40.834783401886853</v>
      </c>
      <c r="M19" s="8">
        <f t="shared" si="6"/>
        <v>38.6</v>
      </c>
      <c r="N19" s="8">
        <f t="shared" si="6"/>
        <v>37.588556149732625</v>
      </c>
      <c r="O19" s="8">
        <f t="shared" si="6"/>
        <v>36.577112299465249</v>
      </c>
      <c r="P19" s="8">
        <f t="shared" si="6"/>
        <v>35.565668449197858</v>
      </c>
      <c r="Q19" s="8">
        <f t="shared" si="6"/>
        <v>34.554224598930482</v>
      </c>
      <c r="R19" s="8">
        <f t="shared" si="6"/>
        <v>33.542780748663105</v>
      </c>
      <c r="S19" s="8">
        <f t="shared" si="6"/>
        <v>32.531336898395715</v>
      </c>
      <c r="T19" s="8">
        <f t="shared" si="6"/>
        <v>31.771721925133694</v>
      </c>
      <c r="U19" s="8">
        <f t="shared" si="6"/>
        <v>31.012106951871658</v>
      </c>
      <c r="V19" s="8">
        <f t="shared" si="6"/>
        <v>30.252491978609626</v>
      </c>
      <c r="W19" s="8">
        <f t="shared" si="6"/>
        <v>29.492877005347594</v>
      </c>
      <c r="X19" s="8">
        <f t="shared" si="6"/>
        <v>28.733262032085563</v>
      </c>
      <c r="Y19" s="8">
        <f t="shared" si="6"/>
        <v>28.374096256684496</v>
      </c>
      <c r="Z19" s="8">
        <f t="shared" si="6"/>
        <v>28.014930481283429</v>
      </c>
      <c r="AA19" s="8">
        <f t="shared" si="6"/>
        <v>27.655764705882362</v>
      </c>
      <c r="AB19" s="8">
        <f t="shared" si="6"/>
        <v>27.296598930481288</v>
      </c>
      <c r="AC19" s="8">
        <f t="shared" si="6"/>
        <v>26.937433155080221</v>
      </c>
      <c r="AD19" s="8">
        <f t="shared" si="6"/>
        <v>26.578267379679154</v>
      </c>
      <c r="AE19" s="8">
        <f t="shared" si="6"/>
        <v>26.219101604278087</v>
      </c>
      <c r="AF19" s="8">
        <f t="shared" si="6"/>
        <v>25.859935828877013</v>
      </c>
      <c r="AG19" s="8">
        <f t="shared" si="6"/>
        <v>25.500770053475946</v>
      </c>
      <c r="AH19" s="8">
        <f t="shared" si="6"/>
        <v>25.14160427807488</v>
      </c>
      <c r="AI19" s="8">
        <f t="shared" si="6"/>
        <v>24.782438502673809</v>
      </c>
      <c r="AJ19" s="8">
        <f t="shared" si="6"/>
        <v>24.423272727272742</v>
      </c>
      <c r="AK19" s="8">
        <f t="shared" si="6"/>
        <v>24.064106951871672</v>
      </c>
      <c r="AL19" s="8">
        <f t="shared" si="6"/>
        <v>23.704941176470605</v>
      </c>
      <c r="AM19" s="8">
        <f t="shared" si="6"/>
        <v>23.345775401069535</v>
      </c>
      <c r="AN19" s="8">
        <f t="shared" si="6"/>
        <v>22.986609625668464</v>
      </c>
      <c r="AO19" s="8">
        <f t="shared" si="6"/>
        <v>22.627443850267397</v>
      </c>
      <c r="AP19" s="8">
        <f t="shared" si="6"/>
        <v>22.26827807486633</v>
      </c>
      <c r="AQ19" s="8">
        <f t="shared" si="6"/>
        <v>21.909112299465264</v>
      </c>
      <c r="AR19" s="8">
        <f t="shared" si="6"/>
        <v>21.549946524064179</v>
      </c>
      <c r="AX19">
        <v>2018</v>
      </c>
      <c r="AY19">
        <v>2019</v>
      </c>
      <c r="AZ19">
        <v>2020</v>
      </c>
      <c r="BA19">
        <v>2021</v>
      </c>
      <c r="BB19">
        <v>2022</v>
      </c>
      <c r="BC19">
        <v>2023</v>
      </c>
      <c r="BD19">
        <v>2024</v>
      </c>
      <c r="BE19">
        <v>2025</v>
      </c>
      <c r="BF19">
        <v>2026</v>
      </c>
      <c r="BG19">
        <v>2027</v>
      </c>
      <c r="BH19">
        <v>2028</v>
      </c>
      <c r="BI19">
        <v>2029</v>
      </c>
      <c r="BJ19">
        <v>2030</v>
      </c>
      <c r="BK19">
        <v>2031</v>
      </c>
      <c r="BL19">
        <v>2032</v>
      </c>
      <c r="BM19">
        <v>2033</v>
      </c>
      <c r="BN19">
        <v>2034</v>
      </c>
      <c r="BO19">
        <v>2035</v>
      </c>
      <c r="BP19">
        <v>2036</v>
      </c>
      <c r="BQ19">
        <v>2037</v>
      </c>
      <c r="BR19">
        <v>2038</v>
      </c>
      <c r="BS19">
        <v>2039</v>
      </c>
      <c r="BT19">
        <v>2040</v>
      </c>
      <c r="BU19">
        <v>2041</v>
      </c>
      <c r="BV19">
        <v>2042</v>
      </c>
      <c r="BW19">
        <v>2043</v>
      </c>
      <c r="BX19">
        <v>2044</v>
      </c>
      <c r="BY19">
        <v>2045</v>
      </c>
      <c r="BZ19">
        <v>2046</v>
      </c>
      <c r="CA19">
        <v>2047</v>
      </c>
      <c r="CB19">
        <v>2048</v>
      </c>
      <c r="CC19">
        <v>2049</v>
      </c>
      <c r="CD19">
        <v>2050</v>
      </c>
    </row>
    <row r="20" spans="8:82" x14ac:dyDescent="0.3">
      <c r="H20" s="68"/>
      <c r="J20" s="9"/>
      <c r="K20" s="3" t="s">
        <v>12</v>
      </c>
      <c r="L20" s="8">
        <f>0.025*L10</f>
        <v>40.834783401886853</v>
      </c>
      <c r="M20" s="8">
        <f>0.025*M10</f>
        <v>38.6</v>
      </c>
      <c r="N20" s="8">
        <f t="shared" ref="N20:AR22" si="7">0.025*N10</f>
        <v>30.064099491319457</v>
      </c>
      <c r="O20" s="8">
        <f t="shared" si="7"/>
        <v>27.948032327396788</v>
      </c>
      <c r="P20" s="8">
        <f t="shared" si="7"/>
        <v>25.831965163474123</v>
      </c>
      <c r="Q20" s="8">
        <f t="shared" si="7"/>
        <v>23.715897999551455</v>
      </c>
      <c r="R20" s="8">
        <f t="shared" si="7"/>
        <v>21.599830835628786</v>
      </c>
      <c r="S20" s="8">
        <f t="shared" si="7"/>
        <v>19.483763671706125</v>
      </c>
      <c r="T20" s="8">
        <f t="shared" si="7"/>
        <v>18.424039763281797</v>
      </c>
      <c r="U20" s="8">
        <f t="shared" si="7"/>
        <v>17.364315854857466</v>
      </c>
      <c r="V20" s="8">
        <f t="shared" si="7"/>
        <v>16.304591946433142</v>
      </c>
      <c r="W20" s="8">
        <f t="shared" si="7"/>
        <v>15.244868038008811</v>
      </c>
      <c r="X20" s="8">
        <f t="shared" si="7"/>
        <v>14.185144129584479</v>
      </c>
      <c r="Y20" s="8">
        <f t="shared" si="7"/>
        <v>13.907608700962172</v>
      </c>
      <c r="Z20" s="8">
        <f t="shared" si="7"/>
        <v>13.630073272339866</v>
      </c>
      <c r="AA20" s="8">
        <f t="shared" si="7"/>
        <v>13.35253784371756</v>
      </c>
      <c r="AB20" s="8">
        <f t="shared" si="7"/>
        <v>13.075002415095254</v>
      </c>
      <c r="AC20" s="8">
        <f t="shared" si="7"/>
        <v>12.797466986472948</v>
      </c>
      <c r="AD20" s="8">
        <f t="shared" si="7"/>
        <v>12.519931557850644</v>
      </c>
      <c r="AE20" s="8">
        <f t="shared" si="7"/>
        <v>12.242396129228338</v>
      </c>
      <c r="AF20" s="8">
        <f t="shared" si="7"/>
        <v>11.964860700606032</v>
      </c>
      <c r="AG20" s="8">
        <f t="shared" si="7"/>
        <v>11.687325271983724</v>
      </c>
      <c r="AH20" s="8">
        <f t="shared" si="7"/>
        <v>11.40978984336142</v>
      </c>
      <c r="AI20" s="8">
        <f t="shared" si="7"/>
        <v>11.132254414739114</v>
      </c>
      <c r="AJ20" s="8">
        <f t="shared" si="7"/>
        <v>10.854718986116808</v>
      </c>
      <c r="AK20" s="8">
        <f t="shared" si="7"/>
        <v>10.577183557494502</v>
      </c>
      <c r="AL20" s="8">
        <f t="shared" si="7"/>
        <v>10.299648128872196</v>
      </c>
      <c r="AM20" s="8">
        <f t="shared" si="7"/>
        <v>10.02211270024989</v>
      </c>
      <c r="AN20" s="8">
        <f t="shared" si="7"/>
        <v>9.744577271627584</v>
      </c>
      <c r="AO20" s="8">
        <f t="shared" si="7"/>
        <v>9.4670418430052798</v>
      </c>
      <c r="AP20" s="8">
        <f t="shared" si="7"/>
        <v>9.1895064143829739</v>
      </c>
      <c r="AQ20" s="8">
        <f t="shared" si="7"/>
        <v>8.9119709857606697</v>
      </c>
      <c r="AR20" s="8">
        <f t="shared" si="7"/>
        <v>8.6344355571383797</v>
      </c>
      <c r="AW20" t="s">
        <v>7</v>
      </c>
      <c r="AX20" s="4">
        <f>AX21</f>
        <v>291.97928028292182</v>
      </c>
      <c r="AY20" s="4">
        <v>276</v>
      </c>
      <c r="AZ20" s="4">
        <v>214.96609998974535</v>
      </c>
      <c r="BA20" s="4">
        <v>199.83567156376978</v>
      </c>
      <c r="BB20" s="4">
        <v>184.70524313779424</v>
      </c>
      <c r="BC20" s="4">
        <v>169.57481471181868</v>
      </c>
      <c r="BD20" s="4">
        <v>154.44438628584311</v>
      </c>
      <c r="BE20" s="4">
        <v>139.3139578598676</v>
      </c>
      <c r="BF20" s="4">
        <v>131.73665737476102</v>
      </c>
      <c r="BG20" s="4">
        <v>124.15935688965442</v>
      </c>
      <c r="BH20" s="4">
        <v>116.58205640454783</v>
      </c>
      <c r="BI20" s="4">
        <v>109.00475591944122</v>
      </c>
      <c r="BJ20" s="4">
        <v>101.4274554343346</v>
      </c>
      <c r="BK20" s="4">
        <v>99.443005219314998</v>
      </c>
      <c r="BL20" s="4">
        <v>97.45855500429542</v>
      </c>
      <c r="BM20" s="4">
        <v>95.474104789275813</v>
      </c>
      <c r="BN20" s="4">
        <v>93.489654574256221</v>
      </c>
      <c r="BO20" s="4">
        <v>91.505204359236629</v>
      </c>
      <c r="BP20" s="4">
        <v>89.520754144217037</v>
      </c>
      <c r="BQ20" s="4">
        <v>87.53630392919743</v>
      </c>
      <c r="BR20" s="4">
        <v>85.551853714177824</v>
      </c>
      <c r="BS20" s="4">
        <v>83.567403499158246</v>
      </c>
      <c r="BT20" s="4">
        <v>81.58295328413864</v>
      </c>
      <c r="BU20" s="4">
        <v>79.598503069119047</v>
      </c>
      <c r="BV20" s="4">
        <v>77.614052854099455</v>
      </c>
      <c r="BW20" s="4">
        <v>75.629602639079863</v>
      </c>
      <c r="BX20" s="4">
        <v>73.645152424060257</v>
      </c>
      <c r="BY20" s="4">
        <v>71.660702209040679</v>
      </c>
      <c r="BZ20" s="4">
        <v>69.676251994021072</v>
      </c>
      <c r="CA20" s="4">
        <v>67.69180177900148</v>
      </c>
      <c r="CB20" s="4">
        <v>65.707351563981902</v>
      </c>
      <c r="CC20" s="4">
        <v>63.722901348962303</v>
      </c>
      <c r="CD20" s="4">
        <v>61.738451133942824</v>
      </c>
    </row>
    <row r="21" spans="8:82" x14ac:dyDescent="0.3">
      <c r="H21" s="68"/>
      <c r="J21" s="9"/>
      <c r="K21" s="5" t="s">
        <v>13</v>
      </c>
      <c r="L21" s="8">
        <f t="shared" ref="L21:AB22" si="8">0.025*L11</f>
        <v>40.834783401886853</v>
      </c>
      <c r="M21" s="8">
        <f t="shared" si="8"/>
        <v>38.6</v>
      </c>
      <c r="N21" s="8">
        <f t="shared" si="8"/>
        <v>36.365216598113157</v>
      </c>
      <c r="O21" s="8">
        <f t="shared" si="8"/>
        <v>34.112541376649993</v>
      </c>
      <c r="P21" s="8">
        <f t="shared" si="8"/>
        <v>31.859866155186879</v>
      </c>
      <c r="Q21" s="8">
        <f t="shared" si="8"/>
        <v>29.607190933723771</v>
      </c>
      <c r="R21" s="8">
        <f t="shared" si="8"/>
        <v>27.354515712260657</v>
      </c>
      <c r="S21" s="8">
        <f t="shared" si="8"/>
        <v>25.101840490797549</v>
      </c>
      <c r="T21" s="8">
        <f t="shared" si="8"/>
        <v>24.16763706383049</v>
      </c>
      <c r="U21" s="8">
        <f t="shared" si="8"/>
        <v>23.233433636863431</v>
      </c>
      <c r="V21" s="8">
        <f t="shared" si="8"/>
        <v>22.299230209896375</v>
      </c>
      <c r="W21" s="8">
        <f t="shared" si="8"/>
        <v>21.36502678292932</v>
      </c>
      <c r="X21" s="8">
        <f t="shared" si="8"/>
        <v>20.430823355962247</v>
      </c>
      <c r="Y21" s="8">
        <f t="shared" si="8"/>
        <v>20.175438064012724</v>
      </c>
      <c r="Z21" s="8">
        <f t="shared" si="8"/>
        <v>19.920052772063197</v>
      </c>
      <c r="AA21" s="8">
        <f t="shared" si="8"/>
        <v>19.664667480113668</v>
      </c>
      <c r="AB21" s="8">
        <f t="shared" si="8"/>
        <v>19.409282188164141</v>
      </c>
      <c r="AC21" s="8">
        <f t="shared" si="7"/>
        <v>19.153896896214611</v>
      </c>
      <c r="AD21" s="8">
        <f t="shared" si="7"/>
        <v>18.898511604265089</v>
      </c>
      <c r="AE21" s="8">
        <f t="shared" si="7"/>
        <v>18.643126312315559</v>
      </c>
      <c r="AF21" s="8">
        <f t="shared" si="7"/>
        <v>18.387741020366033</v>
      </c>
      <c r="AG21" s="8">
        <f t="shared" si="7"/>
        <v>18.132355728416503</v>
      </c>
      <c r="AH21" s="8">
        <f t="shared" si="7"/>
        <v>17.87697043646698</v>
      </c>
      <c r="AI21" s="8">
        <f t="shared" si="7"/>
        <v>17.62158514451745</v>
      </c>
      <c r="AJ21" s="8">
        <f t="shared" si="7"/>
        <v>17.366199852567924</v>
      </c>
      <c r="AK21" s="8">
        <f t="shared" si="7"/>
        <v>17.110814560618394</v>
      </c>
      <c r="AL21" s="8">
        <f t="shared" si="7"/>
        <v>16.855429268668871</v>
      </c>
      <c r="AM21" s="8">
        <f t="shared" si="7"/>
        <v>16.600043976719345</v>
      </c>
      <c r="AN21" s="8">
        <f t="shared" si="7"/>
        <v>16.344658684769815</v>
      </c>
      <c r="AO21" s="8">
        <f t="shared" si="7"/>
        <v>16.089273392820285</v>
      </c>
      <c r="AP21" s="8">
        <f t="shared" si="7"/>
        <v>15.833888100870759</v>
      </c>
      <c r="AQ21" s="8">
        <f t="shared" si="7"/>
        <v>15.578502808921233</v>
      </c>
      <c r="AR21" s="8">
        <f t="shared" si="7"/>
        <v>15.32311751697169</v>
      </c>
      <c r="AW21" t="s">
        <v>9</v>
      </c>
      <c r="AX21" s="4">
        <f>AY21+AY21-AZ21</f>
        <v>291.97928028292182</v>
      </c>
      <c r="AY21" s="4">
        <v>276</v>
      </c>
      <c r="AZ21" s="4">
        <v>260.02071971707818</v>
      </c>
      <c r="BA21" s="4">
        <v>243.91350828899991</v>
      </c>
      <c r="BB21" s="4">
        <v>227.80629686092172</v>
      </c>
      <c r="BC21" s="4">
        <v>211.6990854328435</v>
      </c>
      <c r="BD21" s="4">
        <v>195.59187400476532</v>
      </c>
      <c r="BE21" s="4">
        <v>179.48466257668713</v>
      </c>
      <c r="BF21" s="4">
        <v>172.80486605225946</v>
      </c>
      <c r="BG21" s="4">
        <v>166.12506952783178</v>
      </c>
      <c r="BH21" s="4">
        <v>159.44527300340414</v>
      </c>
      <c r="BI21" s="4">
        <v>152.76547647897647</v>
      </c>
      <c r="BJ21" s="4">
        <v>146.08567995454871</v>
      </c>
      <c r="BK21" s="4">
        <v>144.25960895511687</v>
      </c>
      <c r="BL21" s="4">
        <v>142.43353795568501</v>
      </c>
      <c r="BM21" s="4">
        <v>140.60746695625318</v>
      </c>
      <c r="BN21" s="4">
        <v>138.78139595682131</v>
      </c>
      <c r="BO21" s="4">
        <v>136.95532495738945</v>
      </c>
      <c r="BP21" s="4">
        <v>135.12925395795762</v>
      </c>
      <c r="BQ21" s="4">
        <v>133.30318295852575</v>
      </c>
      <c r="BR21" s="4">
        <v>131.47711195909392</v>
      </c>
      <c r="BS21" s="4">
        <v>129.65104095966205</v>
      </c>
      <c r="BT21" s="4">
        <v>127.82496996023021</v>
      </c>
      <c r="BU21" s="4">
        <v>125.99889896079836</v>
      </c>
      <c r="BV21" s="4">
        <v>124.17282796136649</v>
      </c>
      <c r="BW21" s="4">
        <v>122.34675696193464</v>
      </c>
      <c r="BX21" s="4">
        <v>120.5206859625028</v>
      </c>
      <c r="BY21" s="4">
        <v>118.69461496307093</v>
      </c>
      <c r="BZ21" s="4">
        <v>116.86854396363908</v>
      </c>
      <c r="CA21" s="4">
        <v>115.04247296420724</v>
      </c>
      <c r="CB21" s="4">
        <v>113.21640196477537</v>
      </c>
      <c r="CC21" s="4">
        <v>111.39033096534352</v>
      </c>
      <c r="CD21" s="4">
        <v>109.56425996591155</v>
      </c>
    </row>
    <row r="22" spans="8:82" x14ac:dyDescent="0.3">
      <c r="H22" s="68"/>
      <c r="J22" s="9"/>
      <c r="K22" s="6" t="s">
        <v>14</v>
      </c>
      <c r="L22" s="8">
        <f t="shared" si="8"/>
        <v>40.834783401886853</v>
      </c>
      <c r="M22" s="8">
        <f t="shared" si="8"/>
        <v>38.6</v>
      </c>
      <c r="N22" s="8">
        <f t="shared" si="7"/>
        <v>37.588556149732625</v>
      </c>
      <c r="O22" s="8">
        <f t="shared" si="7"/>
        <v>36.577112299465249</v>
      </c>
      <c r="P22" s="8">
        <f t="shared" si="7"/>
        <v>35.565668449197858</v>
      </c>
      <c r="Q22" s="8">
        <f t="shared" si="7"/>
        <v>34.554224598930482</v>
      </c>
      <c r="R22" s="8">
        <f t="shared" si="7"/>
        <v>33.542780748663105</v>
      </c>
      <c r="S22" s="8">
        <f t="shared" si="7"/>
        <v>32.531336898395715</v>
      </c>
      <c r="T22" s="8">
        <f t="shared" si="7"/>
        <v>31.771721925133694</v>
      </c>
      <c r="U22" s="8">
        <f t="shared" si="7"/>
        <v>31.012106951871658</v>
      </c>
      <c r="V22" s="8">
        <f t="shared" si="7"/>
        <v>30.252491978609626</v>
      </c>
      <c r="W22" s="8">
        <f t="shared" si="7"/>
        <v>29.492877005347594</v>
      </c>
      <c r="X22" s="8">
        <f t="shared" si="7"/>
        <v>28.733262032085563</v>
      </c>
      <c r="Y22" s="8">
        <f t="shared" si="7"/>
        <v>28.374096256684496</v>
      </c>
      <c r="Z22" s="8">
        <f t="shared" si="7"/>
        <v>28.014930481283429</v>
      </c>
      <c r="AA22" s="8">
        <f t="shared" si="7"/>
        <v>27.655764705882362</v>
      </c>
      <c r="AB22" s="8">
        <f t="shared" si="7"/>
        <v>27.296598930481288</v>
      </c>
      <c r="AC22" s="8">
        <f t="shared" si="7"/>
        <v>26.937433155080221</v>
      </c>
      <c r="AD22" s="8">
        <f t="shared" si="7"/>
        <v>26.578267379679154</v>
      </c>
      <c r="AE22" s="8">
        <f t="shared" si="7"/>
        <v>26.219101604278087</v>
      </c>
      <c r="AF22" s="8">
        <f t="shared" si="7"/>
        <v>25.859935828877013</v>
      </c>
      <c r="AG22" s="8">
        <f t="shared" si="7"/>
        <v>25.500770053475946</v>
      </c>
      <c r="AH22" s="8">
        <f t="shared" si="7"/>
        <v>25.14160427807488</v>
      </c>
      <c r="AI22" s="8">
        <f t="shared" si="7"/>
        <v>24.782438502673809</v>
      </c>
      <c r="AJ22" s="8">
        <f t="shared" si="7"/>
        <v>24.423272727272742</v>
      </c>
      <c r="AK22" s="8">
        <f t="shared" si="7"/>
        <v>24.064106951871672</v>
      </c>
      <c r="AL22" s="8">
        <f t="shared" si="7"/>
        <v>23.704941176470605</v>
      </c>
      <c r="AM22" s="8">
        <f t="shared" si="7"/>
        <v>23.345775401069535</v>
      </c>
      <c r="AN22" s="8">
        <f t="shared" si="7"/>
        <v>22.986609625668464</v>
      </c>
      <c r="AO22" s="8">
        <f t="shared" si="7"/>
        <v>22.627443850267397</v>
      </c>
      <c r="AP22" s="8">
        <f t="shared" si="7"/>
        <v>22.26827807486633</v>
      </c>
      <c r="AQ22" s="8">
        <f t="shared" si="7"/>
        <v>21.909112299465264</v>
      </c>
      <c r="AR22" s="8">
        <f t="shared" si="7"/>
        <v>21.549946524064179</v>
      </c>
      <c r="AW22" t="s">
        <v>11</v>
      </c>
      <c r="AX22" s="4">
        <f>AX21</f>
        <v>291.97928028292182</v>
      </c>
      <c r="AY22" s="4">
        <v>276</v>
      </c>
      <c r="AZ22" s="4">
        <v>268.76791443850271</v>
      </c>
      <c r="BA22" s="4">
        <v>261.53582887700537</v>
      </c>
      <c r="BB22" s="4">
        <v>254.30374331550803</v>
      </c>
      <c r="BC22" s="4">
        <v>247.07165775401069</v>
      </c>
      <c r="BD22" s="4">
        <v>239.83957219251337</v>
      </c>
      <c r="BE22" s="4">
        <v>232.60748663101603</v>
      </c>
      <c r="BF22" s="4">
        <v>227.17604278074865</v>
      </c>
      <c r="BG22" s="4">
        <v>221.74459893048126</v>
      </c>
      <c r="BH22" s="4">
        <v>216.31315508021387</v>
      </c>
      <c r="BI22" s="4">
        <v>210.88171122994655</v>
      </c>
      <c r="BJ22" s="4">
        <v>205.45026737967916</v>
      </c>
      <c r="BK22" s="4">
        <v>202.88213903743315</v>
      </c>
      <c r="BL22" s="4">
        <v>200.31401069518719</v>
      </c>
      <c r="BM22" s="4">
        <v>197.74588235294121</v>
      </c>
      <c r="BN22" s="4">
        <v>195.17775401069522</v>
      </c>
      <c r="BO22" s="4">
        <v>192.60962566844924</v>
      </c>
      <c r="BP22" s="4">
        <v>190.04149732620328</v>
      </c>
      <c r="BQ22" s="4">
        <v>187.47336898395727</v>
      </c>
      <c r="BR22" s="4">
        <v>184.90524064171129</v>
      </c>
      <c r="BS22" s="4">
        <v>182.3371122994653</v>
      </c>
      <c r="BT22" s="4">
        <v>179.76898395721935</v>
      </c>
      <c r="BU22" s="4">
        <v>177.20085561497336</v>
      </c>
      <c r="BV22" s="4">
        <v>174.63272727272735</v>
      </c>
      <c r="BW22" s="4">
        <v>172.06459893048137</v>
      </c>
      <c r="BX22" s="4">
        <v>169.49647058823541</v>
      </c>
      <c r="BY22" s="4">
        <v>166.92834224598943</v>
      </c>
      <c r="BZ22" s="4">
        <v>164.36021390374344</v>
      </c>
      <c r="CA22" s="4">
        <v>161.79208556149743</v>
      </c>
      <c r="CB22" s="4">
        <v>159.22395721925147</v>
      </c>
      <c r="CC22" s="4">
        <v>156.65582887700549</v>
      </c>
      <c r="CD22" s="4">
        <v>154.08770053475939</v>
      </c>
    </row>
    <row r="23" spans="8:82" x14ac:dyDescent="0.3">
      <c r="H23" s="68"/>
      <c r="J23" s="7"/>
      <c r="K23" s="5"/>
    </row>
    <row r="24" spans="8:82" x14ac:dyDescent="0.3">
      <c r="H24" s="68"/>
      <c r="J24" s="10"/>
      <c r="K24" s="11"/>
      <c r="AW24" s="2" t="s">
        <v>17</v>
      </c>
    </row>
    <row r="25" spans="8:82" x14ac:dyDescent="0.3">
      <c r="H25" s="68"/>
      <c r="J25" s="65" t="s">
        <v>18</v>
      </c>
      <c r="K25" s="3" t="s">
        <v>6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W25" s="2"/>
    </row>
    <row r="26" spans="8:82" x14ac:dyDescent="0.3">
      <c r="H26" s="68"/>
      <c r="J26" s="66"/>
      <c r="K26" s="5" t="s">
        <v>8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W26" s="2"/>
    </row>
    <row r="27" spans="8:82" x14ac:dyDescent="0.3">
      <c r="H27" s="68"/>
      <c r="J27" s="66"/>
      <c r="K27" s="6" t="s">
        <v>10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W27" s="2"/>
    </row>
    <row r="28" spans="8:82" x14ac:dyDescent="0.3">
      <c r="H28" s="12"/>
      <c r="J28" s="67"/>
      <c r="K28" s="3" t="s">
        <v>12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</row>
    <row r="29" spans="8:82" x14ac:dyDescent="0.3">
      <c r="H29" s="12"/>
      <c r="J29" s="67"/>
      <c r="K29" s="5" t="s">
        <v>13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</row>
    <row r="30" spans="8:82" x14ac:dyDescent="0.3">
      <c r="H30" s="12"/>
      <c r="J30" s="67"/>
      <c r="K30" s="6" t="s">
        <v>14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</row>
    <row r="31" spans="8:82" x14ac:dyDescent="0.3">
      <c r="H31" s="13"/>
    </row>
    <row r="32" spans="8:82" ht="15" customHeight="1" x14ac:dyDescent="0.3">
      <c r="H32" s="13"/>
    </row>
    <row r="33" spans="8:44" x14ac:dyDescent="0.3">
      <c r="H33" s="13"/>
      <c r="J33" s="65" t="s">
        <v>19</v>
      </c>
      <c r="K33" s="3" t="s">
        <v>6</v>
      </c>
      <c r="L33" s="14">
        <v>0.85</v>
      </c>
      <c r="M33" s="14">
        <v>0.85</v>
      </c>
      <c r="N33" s="14">
        <v>0.85</v>
      </c>
      <c r="O33" s="14">
        <v>0.85</v>
      </c>
      <c r="P33" s="14">
        <v>0.85</v>
      </c>
      <c r="Q33" s="14">
        <v>0.85</v>
      </c>
      <c r="R33" s="14">
        <v>0.85</v>
      </c>
      <c r="S33" s="14">
        <v>0.85</v>
      </c>
      <c r="T33" s="14">
        <v>0.85</v>
      </c>
      <c r="U33" s="14">
        <v>0.85</v>
      </c>
      <c r="V33" s="14">
        <v>0.85</v>
      </c>
      <c r="W33" s="14">
        <v>0.85</v>
      </c>
      <c r="X33" s="14">
        <v>0.85</v>
      </c>
      <c r="Y33" s="14">
        <v>0.85</v>
      </c>
      <c r="Z33" s="14">
        <v>0.85</v>
      </c>
      <c r="AA33" s="14">
        <v>0.85</v>
      </c>
      <c r="AB33" s="14">
        <v>0.85</v>
      </c>
      <c r="AC33" s="14">
        <v>0.85</v>
      </c>
      <c r="AD33" s="14">
        <v>0.85</v>
      </c>
      <c r="AE33" s="14">
        <v>0.85</v>
      </c>
      <c r="AF33" s="14">
        <v>0.85</v>
      </c>
      <c r="AG33" s="14">
        <v>0.85</v>
      </c>
      <c r="AH33" s="14">
        <v>0.85</v>
      </c>
      <c r="AI33" s="14">
        <v>0.85</v>
      </c>
      <c r="AJ33" s="14">
        <v>0.85</v>
      </c>
      <c r="AK33" s="14">
        <v>0.85</v>
      </c>
      <c r="AL33" s="14">
        <v>0.85</v>
      </c>
      <c r="AM33" s="14">
        <v>0.85</v>
      </c>
      <c r="AN33" s="14">
        <v>0.85</v>
      </c>
      <c r="AO33" s="14">
        <v>0.85</v>
      </c>
      <c r="AP33" s="14">
        <v>0.85</v>
      </c>
      <c r="AQ33" s="14">
        <v>0.85</v>
      </c>
      <c r="AR33" s="15">
        <v>0.85</v>
      </c>
    </row>
    <row r="34" spans="8:44" x14ac:dyDescent="0.3">
      <c r="H34" s="13"/>
      <c r="J34" s="66"/>
      <c r="K34" s="5" t="s">
        <v>8</v>
      </c>
      <c r="L34" s="14">
        <v>0.85</v>
      </c>
      <c r="M34" s="14">
        <v>0.85</v>
      </c>
      <c r="N34" s="14">
        <v>0.85</v>
      </c>
      <c r="O34" s="14">
        <v>0.85</v>
      </c>
      <c r="P34" s="14">
        <v>0.85</v>
      </c>
      <c r="Q34" s="14">
        <v>0.85</v>
      </c>
      <c r="R34" s="14">
        <v>0.85</v>
      </c>
      <c r="S34" s="14">
        <v>0.85</v>
      </c>
      <c r="T34" s="14">
        <v>0.85</v>
      </c>
      <c r="U34" s="14">
        <v>0.85</v>
      </c>
      <c r="V34" s="14">
        <v>0.85</v>
      </c>
      <c r="W34" s="14">
        <v>0.85</v>
      </c>
      <c r="X34" s="14">
        <v>0.85</v>
      </c>
      <c r="Y34" s="14">
        <v>0.85</v>
      </c>
      <c r="Z34" s="14">
        <v>0.85</v>
      </c>
      <c r="AA34" s="14">
        <v>0.85</v>
      </c>
      <c r="AB34" s="14">
        <v>0.85</v>
      </c>
      <c r="AC34" s="14">
        <v>0.85</v>
      </c>
      <c r="AD34" s="14">
        <v>0.85</v>
      </c>
      <c r="AE34" s="14">
        <v>0.85</v>
      </c>
      <c r="AF34" s="14">
        <v>0.85</v>
      </c>
      <c r="AG34" s="14">
        <v>0.85</v>
      </c>
      <c r="AH34" s="14">
        <v>0.85</v>
      </c>
      <c r="AI34" s="14">
        <v>0.85</v>
      </c>
      <c r="AJ34" s="14">
        <v>0.85</v>
      </c>
      <c r="AK34" s="14">
        <v>0.85</v>
      </c>
      <c r="AL34" s="14">
        <v>0.85</v>
      </c>
      <c r="AM34" s="14">
        <v>0.85</v>
      </c>
      <c r="AN34" s="14">
        <v>0.85</v>
      </c>
      <c r="AO34" s="14">
        <v>0.85</v>
      </c>
      <c r="AP34" s="14">
        <v>0.85</v>
      </c>
      <c r="AQ34" s="14">
        <v>0.85</v>
      </c>
      <c r="AR34" s="15">
        <v>0.85</v>
      </c>
    </row>
    <row r="35" spans="8:44" x14ac:dyDescent="0.3">
      <c r="H35" s="13"/>
      <c r="J35" s="66"/>
      <c r="K35" s="6" t="s">
        <v>10</v>
      </c>
      <c r="L35" s="14">
        <v>0.85</v>
      </c>
      <c r="M35" s="14">
        <v>0.85</v>
      </c>
      <c r="N35" s="14">
        <v>0.85</v>
      </c>
      <c r="O35" s="14">
        <v>0.85</v>
      </c>
      <c r="P35" s="14">
        <v>0.85</v>
      </c>
      <c r="Q35" s="14">
        <v>0.85</v>
      </c>
      <c r="R35" s="14">
        <v>0.85</v>
      </c>
      <c r="S35" s="14">
        <v>0.85</v>
      </c>
      <c r="T35" s="14">
        <v>0.85</v>
      </c>
      <c r="U35" s="14">
        <v>0.85</v>
      </c>
      <c r="V35" s="14">
        <v>0.85</v>
      </c>
      <c r="W35" s="14">
        <v>0.85</v>
      </c>
      <c r="X35" s="14">
        <v>0.85</v>
      </c>
      <c r="Y35" s="14">
        <v>0.85</v>
      </c>
      <c r="Z35" s="14">
        <v>0.85</v>
      </c>
      <c r="AA35" s="14">
        <v>0.85</v>
      </c>
      <c r="AB35" s="14">
        <v>0.85</v>
      </c>
      <c r="AC35" s="14">
        <v>0.85</v>
      </c>
      <c r="AD35" s="14">
        <v>0.85</v>
      </c>
      <c r="AE35" s="14">
        <v>0.85</v>
      </c>
      <c r="AF35" s="14">
        <v>0.85</v>
      </c>
      <c r="AG35" s="14">
        <v>0.85</v>
      </c>
      <c r="AH35" s="14">
        <v>0.85</v>
      </c>
      <c r="AI35" s="14">
        <v>0.85</v>
      </c>
      <c r="AJ35" s="14">
        <v>0.85</v>
      </c>
      <c r="AK35" s="14">
        <v>0.85</v>
      </c>
      <c r="AL35" s="14">
        <v>0.85</v>
      </c>
      <c r="AM35" s="14">
        <v>0.85</v>
      </c>
      <c r="AN35" s="14">
        <v>0.85</v>
      </c>
      <c r="AO35" s="14">
        <v>0.85</v>
      </c>
      <c r="AP35" s="14">
        <v>0.85</v>
      </c>
      <c r="AQ35" s="14">
        <v>0.85</v>
      </c>
      <c r="AR35" s="15">
        <v>0.85</v>
      </c>
    </row>
    <row r="36" spans="8:44" x14ac:dyDescent="0.3">
      <c r="H36" s="13"/>
      <c r="J36" s="67"/>
      <c r="K36" s="3" t="s">
        <v>12</v>
      </c>
      <c r="L36" s="14">
        <v>0.85</v>
      </c>
      <c r="M36" s="14">
        <v>0.85</v>
      </c>
      <c r="N36" s="14">
        <v>0.85</v>
      </c>
      <c r="O36" s="14">
        <v>0.85</v>
      </c>
      <c r="P36" s="14">
        <v>0.85</v>
      </c>
      <c r="Q36" s="14">
        <v>0.85</v>
      </c>
      <c r="R36" s="14">
        <v>0.85</v>
      </c>
      <c r="S36" s="14">
        <v>0.85</v>
      </c>
      <c r="T36" s="14">
        <v>0.85</v>
      </c>
      <c r="U36" s="14">
        <v>0.85</v>
      </c>
      <c r="V36" s="14">
        <v>0.85</v>
      </c>
      <c r="W36" s="14">
        <v>0.85</v>
      </c>
      <c r="X36" s="14">
        <v>0.85</v>
      </c>
      <c r="Y36" s="14">
        <v>0.85</v>
      </c>
      <c r="Z36" s="14">
        <v>0.85</v>
      </c>
      <c r="AA36" s="14">
        <v>0.85</v>
      </c>
      <c r="AB36" s="14">
        <v>0.85</v>
      </c>
      <c r="AC36" s="14">
        <v>0.85</v>
      </c>
      <c r="AD36" s="14">
        <v>0.85</v>
      </c>
      <c r="AE36" s="14">
        <v>0.85</v>
      </c>
      <c r="AF36" s="14">
        <v>0.85</v>
      </c>
      <c r="AG36" s="14">
        <v>0.85</v>
      </c>
      <c r="AH36" s="14">
        <v>0.85</v>
      </c>
      <c r="AI36" s="14">
        <v>0.85</v>
      </c>
      <c r="AJ36" s="14">
        <v>0.85</v>
      </c>
      <c r="AK36" s="14">
        <v>0.85</v>
      </c>
      <c r="AL36" s="14">
        <v>0.85</v>
      </c>
      <c r="AM36" s="14">
        <v>0.85</v>
      </c>
      <c r="AN36" s="14">
        <v>0.85</v>
      </c>
      <c r="AO36" s="14">
        <v>0.85</v>
      </c>
      <c r="AP36" s="14">
        <v>0.85</v>
      </c>
      <c r="AQ36" s="14">
        <v>0.85</v>
      </c>
      <c r="AR36" s="15">
        <v>0.85</v>
      </c>
    </row>
    <row r="37" spans="8:44" x14ac:dyDescent="0.3">
      <c r="H37" s="13"/>
      <c r="J37" s="67"/>
      <c r="K37" s="5" t="s">
        <v>13</v>
      </c>
      <c r="L37" s="14">
        <v>0.85</v>
      </c>
      <c r="M37" s="14">
        <v>0.85</v>
      </c>
      <c r="N37" s="14">
        <v>0.85</v>
      </c>
      <c r="O37" s="14">
        <v>0.85</v>
      </c>
      <c r="P37" s="14">
        <v>0.85</v>
      </c>
      <c r="Q37" s="14">
        <v>0.85</v>
      </c>
      <c r="R37" s="14">
        <v>0.85</v>
      </c>
      <c r="S37" s="14">
        <v>0.85</v>
      </c>
      <c r="T37" s="14">
        <v>0.85</v>
      </c>
      <c r="U37" s="14">
        <v>0.85</v>
      </c>
      <c r="V37" s="14">
        <v>0.85</v>
      </c>
      <c r="W37" s="14">
        <v>0.85</v>
      </c>
      <c r="X37" s="14">
        <v>0.85</v>
      </c>
      <c r="Y37" s="14">
        <v>0.85</v>
      </c>
      <c r="Z37" s="14">
        <v>0.85</v>
      </c>
      <c r="AA37" s="14">
        <v>0.85</v>
      </c>
      <c r="AB37" s="14">
        <v>0.85</v>
      </c>
      <c r="AC37" s="14">
        <v>0.85</v>
      </c>
      <c r="AD37" s="14">
        <v>0.85</v>
      </c>
      <c r="AE37" s="14">
        <v>0.85</v>
      </c>
      <c r="AF37" s="14">
        <v>0.85</v>
      </c>
      <c r="AG37" s="14">
        <v>0.85</v>
      </c>
      <c r="AH37" s="14">
        <v>0.85</v>
      </c>
      <c r="AI37" s="14">
        <v>0.85</v>
      </c>
      <c r="AJ37" s="14">
        <v>0.85</v>
      </c>
      <c r="AK37" s="14">
        <v>0.85</v>
      </c>
      <c r="AL37" s="14">
        <v>0.85</v>
      </c>
      <c r="AM37" s="14">
        <v>0.85</v>
      </c>
      <c r="AN37" s="14">
        <v>0.85</v>
      </c>
      <c r="AO37" s="14">
        <v>0.85</v>
      </c>
      <c r="AP37" s="14">
        <v>0.85</v>
      </c>
      <c r="AQ37" s="14">
        <v>0.85</v>
      </c>
      <c r="AR37" s="15">
        <v>0.85</v>
      </c>
    </row>
    <row r="38" spans="8:44" x14ac:dyDescent="0.3">
      <c r="H38" s="13"/>
      <c r="J38" s="67"/>
      <c r="K38" s="6" t="s">
        <v>14</v>
      </c>
      <c r="L38" s="14">
        <v>0.85</v>
      </c>
      <c r="M38" s="14">
        <v>0.85</v>
      </c>
      <c r="N38" s="14">
        <v>0.85</v>
      </c>
      <c r="O38" s="14">
        <v>0.85</v>
      </c>
      <c r="P38" s="14">
        <v>0.85</v>
      </c>
      <c r="Q38" s="14">
        <v>0.85</v>
      </c>
      <c r="R38" s="14">
        <v>0.85</v>
      </c>
      <c r="S38" s="14">
        <v>0.85</v>
      </c>
      <c r="T38" s="14">
        <v>0.85</v>
      </c>
      <c r="U38" s="14">
        <v>0.85</v>
      </c>
      <c r="V38" s="14">
        <v>0.85</v>
      </c>
      <c r="W38" s="14">
        <v>0.85</v>
      </c>
      <c r="X38" s="14">
        <v>0.85</v>
      </c>
      <c r="Y38" s="14">
        <v>0.85</v>
      </c>
      <c r="Z38" s="14">
        <v>0.85</v>
      </c>
      <c r="AA38" s="14">
        <v>0.85</v>
      </c>
      <c r="AB38" s="14">
        <v>0.85</v>
      </c>
      <c r="AC38" s="14">
        <v>0.85</v>
      </c>
      <c r="AD38" s="14">
        <v>0.85</v>
      </c>
      <c r="AE38" s="14">
        <v>0.85</v>
      </c>
      <c r="AF38" s="14">
        <v>0.85</v>
      </c>
      <c r="AG38" s="14">
        <v>0.85</v>
      </c>
      <c r="AH38" s="14">
        <v>0.85</v>
      </c>
      <c r="AI38" s="14">
        <v>0.85</v>
      </c>
      <c r="AJ38" s="14">
        <v>0.85</v>
      </c>
      <c r="AK38" s="14">
        <v>0.85</v>
      </c>
      <c r="AL38" s="14">
        <v>0.85</v>
      </c>
      <c r="AM38" s="14">
        <v>0.85</v>
      </c>
      <c r="AN38" s="14">
        <v>0.85</v>
      </c>
      <c r="AO38" s="14">
        <v>0.85</v>
      </c>
      <c r="AP38" s="14">
        <v>0.85</v>
      </c>
      <c r="AQ38" s="14">
        <v>0.85</v>
      </c>
      <c r="AR38" s="15">
        <v>0.85</v>
      </c>
    </row>
    <row r="39" spans="8:44" x14ac:dyDescent="0.3">
      <c r="H39" s="13"/>
    </row>
    <row r="40" spans="8:44" x14ac:dyDescent="0.3">
      <c r="H40" s="13"/>
    </row>
    <row r="41" spans="8:44" x14ac:dyDescent="0.3">
      <c r="H41" s="13"/>
      <c r="J41" s="65" t="s">
        <v>20</v>
      </c>
      <c r="K41" s="3" t="s">
        <v>6</v>
      </c>
      <c r="L41" s="14">
        <v>0.16699999999999998</v>
      </c>
      <c r="M41" s="14">
        <v>0.16699999999999998</v>
      </c>
      <c r="N41" s="14">
        <v>0.16699999999999998</v>
      </c>
      <c r="O41" s="14">
        <v>0.16699999999999998</v>
      </c>
      <c r="P41" s="14">
        <v>0.16699999999999998</v>
      </c>
      <c r="Q41" s="14">
        <v>0.16699999999999998</v>
      </c>
      <c r="R41" s="14">
        <v>0.16699999999999998</v>
      </c>
      <c r="S41" s="14">
        <v>0.16699999999999998</v>
      </c>
      <c r="T41" s="14">
        <v>0.16699999999999998</v>
      </c>
      <c r="U41" s="14">
        <v>0.16699999999999998</v>
      </c>
      <c r="V41" s="14">
        <v>0.16699999999999998</v>
      </c>
      <c r="W41" s="14">
        <v>0.16699999999999998</v>
      </c>
      <c r="X41" s="14">
        <v>0.16699999999999998</v>
      </c>
      <c r="Y41" s="14">
        <v>0.16699999999999998</v>
      </c>
      <c r="Z41" s="14">
        <v>0.16699999999999998</v>
      </c>
      <c r="AA41" s="14">
        <v>0.16699999999999998</v>
      </c>
      <c r="AB41" s="14">
        <v>0.16699999999999998</v>
      </c>
      <c r="AC41" s="14">
        <v>0.16699999999999998</v>
      </c>
      <c r="AD41" s="14">
        <v>0.16699999999999998</v>
      </c>
      <c r="AE41" s="14">
        <v>0.16699999999999998</v>
      </c>
      <c r="AF41" s="14">
        <v>0.16699999999999998</v>
      </c>
      <c r="AG41" s="14">
        <v>0.16699999999999998</v>
      </c>
      <c r="AH41" s="14">
        <v>0.16699999999999998</v>
      </c>
      <c r="AI41" s="14">
        <v>0.16699999999999998</v>
      </c>
      <c r="AJ41" s="14">
        <v>0.16699999999999998</v>
      </c>
      <c r="AK41" s="14">
        <v>0.16699999999999998</v>
      </c>
      <c r="AL41" s="14">
        <v>0.16699999999999998</v>
      </c>
      <c r="AM41" s="14">
        <v>0.16699999999999998</v>
      </c>
      <c r="AN41" s="14">
        <v>0.16699999999999998</v>
      </c>
      <c r="AO41" s="14">
        <v>0.16699999999999998</v>
      </c>
      <c r="AP41" s="14">
        <v>0.16699999999999998</v>
      </c>
      <c r="AQ41" s="14">
        <v>0.16699999999999998</v>
      </c>
      <c r="AR41" s="14">
        <v>0.16699999999999998</v>
      </c>
    </row>
    <row r="42" spans="8:44" x14ac:dyDescent="0.3">
      <c r="H42" s="13"/>
      <c r="J42" s="66"/>
      <c r="K42" s="5" t="s">
        <v>8</v>
      </c>
      <c r="L42" s="14">
        <v>0.16699999999999998</v>
      </c>
      <c r="M42" s="14">
        <v>0.16699999999999998</v>
      </c>
      <c r="N42" s="14">
        <v>0.16699999999999998</v>
      </c>
      <c r="O42" s="14">
        <v>0.16699999999999998</v>
      </c>
      <c r="P42" s="14">
        <v>0.16699999999999998</v>
      </c>
      <c r="Q42" s="14">
        <v>0.16699999999999998</v>
      </c>
      <c r="R42" s="14">
        <v>0.16699999999999998</v>
      </c>
      <c r="S42" s="14">
        <v>0.16699999999999998</v>
      </c>
      <c r="T42" s="14">
        <v>0.16699999999999998</v>
      </c>
      <c r="U42" s="14">
        <v>0.16699999999999998</v>
      </c>
      <c r="V42" s="14">
        <v>0.16699999999999998</v>
      </c>
      <c r="W42" s="14">
        <v>0.16699999999999998</v>
      </c>
      <c r="X42" s="14">
        <v>0.16699999999999998</v>
      </c>
      <c r="Y42" s="14">
        <v>0.16699999999999998</v>
      </c>
      <c r="Z42" s="14">
        <v>0.16699999999999998</v>
      </c>
      <c r="AA42" s="14">
        <v>0.16699999999999998</v>
      </c>
      <c r="AB42" s="14">
        <v>0.16699999999999998</v>
      </c>
      <c r="AC42" s="14">
        <v>0.16699999999999998</v>
      </c>
      <c r="AD42" s="14">
        <v>0.16699999999999998</v>
      </c>
      <c r="AE42" s="14">
        <v>0.16699999999999998</v>
      </c>
      <c r="AF42" s="14">
        <v>0.16699999999999998</v>
      </c>
      <c r="AG42" s="14">
        <v>0.16699999999999998</v>
      </c>
      <c r="AH42" s="14">
        <v>0.16699999999999998</v>
      </c>
      <c r="AI42" s="14">
        <v>0.16699999999999998</v>
      </c>
      <c r="AJ42" s="14">
        <v>0.16699999999999998</v>
      </c>
      <c r="AK42" s="14">
        <v>0.16699999999999998</v>
      </c>
      <c r="AL42" s="14">
        <v>0.16699999999999998</v>
      </c>
      <c r="AM42" s="14">
        <v>0.16699999999999998</v>
      </c>
      <c r="AN42" s="14">
        <v>0.16699999999999998</v>
      </c>
      <c r="AO42" s="14">
        <v>0.16699999999999998</v>
      </c>
      <c r="AP42" s="14">
        <v>0.16699999999999998</v>
      </c>
      <c r="AQ42" s="14">
        <v>0.16699999999999998</v>
      </c>
      <c r="AR42" s="14">
        <v>0.16699999999999998</v>
      </c>
    </row>
    <row r="43" spans="8:44" x14ac:dyDescent="0.3">
      <c r="H43" s="13"/>
      <c r="J43" s="66"/>
      <c r="K43" s="6" t="s">
        <v>10</v>
      </c>
      <c r="L43" s="14">
        <v>0.16699999999999998</v>
      </c>
      <c r="M43" s="14">
        <v>0.16699999999999998</v>
      </c>
      <c r="N43" s="14">
        <v>0.16699999999999998</v>
      </c>
      <c r="O43" s="14">
        <v>0.16699999999999998</v>
      </c>
      <c r="P43" s="14">
        <v>0.16699999999999998</v>
      </c>
      <c r="Q43" s="14">
        <v>0.16699999999999998</v>
      </c>
      <c r="R43" s="14">
        <v>0.16699999999999998</v>
      </c>
      <c r="S43" s="14">
        <v>0.16699999999999998</v>
      </c>
      <c r="T43" s="14">
        <v>0.16699999999999998</v>
      </c>
      <c r="U43" s="14">
        <v>0.16699999999999998</v>
      </c>
      <c r="V43" s="14">
        <v>0.16699999999999998</v>
      </c>
      <c r="W43" s="14">
        <v>0.16699999999999998</v>
      </c>
      <c r="X43" s="14">
        <v>0.16699999999999998</v>
      </c>
      <c r="Y43" s="14">
        <v>0.16699999999999998</v>
      </c>
      <c r="Z43" s="14">
        <v>0.16699999999999998</v>
      </c>
      <c r="AA43" s="14">
        <v>0.16699999999999998</v>
      </c>
      <c r="AB43" s="14">
        <v>0.16699999999999998</v>
      </c>
      <c r="AC43" s="14">
        <v>0.16699999999999998</v>
      </c>
      <c r="AD43" s="14">
        <v>0.16699999999999998</v>
      </c>
      <c r="AE43" s="14">
        <v>0.16699999999999998</v>
      </c>
      <c r="AF43" s="14">
        <v>0.16699999999999998</v>
      </c>
      <c r="AG43" s="14">
        <v>0.16699999999999998</v>
      </c>
      <c r="AH43" s="14">
        <v>0.16699999999999998</v>
      </c>
      <c r="AI43" s="14">
        <v>0.16699999999999998</v>
      </c>
      <c r="AJ43" s="14">
        <v>0.16699999999999998</v>
      </c>
      <c r="AK43" s="14">
        <v>0.16699999999999998</v>
      </c>
      <c r="AL43" s="14">
        <v>0.16699999999999998</v>
      </c>
      <c r="AM43" s="14">
        <v>0.16699999999999998</v>
      </c>
      <c r="AN43" s="14">
        <v>0.16699999999999998</v>
      </c>
      <c r="AO43" s="14">
        <v>0.16699999999999998</v>
      </c>
      <c r="AP43" s="14">
        <v>0.16699999999999998</v>
      </c>
      <c r="AQ43" s="14">
        <v>0.16699999999999998</v>
      </c>
      <c r="AR43" s="14">
        <v>0.16699999999999998</v>
      </c>
    </row>
    <row r="44" spans="8:44" x14ac:dyDescent="0.3">
      <c r="H44" s="13"/>
      <c r="J44" s="67"/>
      <c r="K44" s="3" t="s">
        <v>12</v>
      </c>
      <c r="L44" s="14">
        <v>8.3000000000000004E-2</v>
      </c>
      <c r="M44" s="14">
        <v>8.3000000000000004E-2</v>
      </c>
      <c r="N44" s="14">
        <v>8.3000000000000004E-2</v>
      </c>
      <c r="O44" s="14">
        <v>8.3000000000000004E-2</v>
      </c>
      <c r="P44" s="14">
        <v>8.3000000000000004E-2</v>
      </c>
      <c r="Q44" s="14">
        <v>8.3000000000000004E-2</v>
      </c>
      <c r="R44" s="14">
        <v>8.3000000000000004E-2</v>
      </c>
      <c r="S44" s="14">
        <v>8.3000000000000004E-2</v>
      </c>
      <c r="T44" s="14">
        <v>8.3000000000000004E-2</v>
      </c>
      <c r="U44" s="14">
        <v>8.3000000000000004E-2</v>
      </c>
      <c r="V44" s="14">
        <v>8.3000000000000004E-2</v>
      </c>
      <c r="W44" s="14">
        <v>8.3000000000000004E-2</v>
      </c>
      <c r="X44" s="14">
        <v>8.3000000000000004E-2</v>
      </c>
      <c r="Y44" s="14">
        <v>8.3000000000000004E-2</v>
      </c>
      <c r="Z44" s="14">
        <v>8.3000000000000004E-2</v>
      </c>
      <c r="AA44" s="14">
        <v>8.3000000000000004E-2</v>
      </c>
      <c r="AB44" s="14">
        <v>8.3000000000000004E-2</v>
      </c>
      <c r="AC44" s="14">
        <v>8.3000000000000004E-2</v>
      </c>
      <c r="AD44" s="14">
        <v>8.3000000000000004E-2</v>
      </c>
      <c r="AE44" s="14">
        <v>8.3000000000000004E-2</v>
      </c>
      <c r="AF44" s="14">
        <v>8.3000000000000004E-2</v>
      </c>
      <c r="AG44" s="14">
        <v>8.3000000000000004E-2</v>
      </c>
      <c r="AH44" s="14">
        <v>8.3000000000000004E-2</v>
      </c>
      <c r="AI44" s="14">
        <v>8.3000000000000004E-2</v>
      </c>
      <c r="AJ44" s="14">
        <v>8.3000000000000004E-2</v>
      </c>
      <c r="AK44" s="14">
        <v>8.3000000000000004E-2</v>
      </c>
      <c r="AL44" s="14">
        <v>8.3000000000000004E-2</v>
      </c>
      <c r="AM44" s="14">
        <v>8.3000000000000004E-2</v>
      </c>
      <c r="AN44" s="14">
        <v>8.3000000000000004E-2</v>
      </c>
      <c r="AO44" s="14">
        <v>8.3000000000000004E-2</v>
      </c>
      <c r="AP44" s="14">
        <v>8.3000000000000004E-2</v>
      </c>
      <c r="AQ44" s="14">
        <v>8.3000000000000004E-2</v>
      </c>
      <c r="AR44" s="14">
        <v>8.3000000000000004E-2</v>
      </c>
    </row>
    <row r="45" spans="8:44" x14ac:dyDescent="0.3">
      <c r="H45" s="13"/>
      <c r="J45" s="67"/>
      <c r="K45" s="5" t="s">
        <v>13</v>
      </c>
      <c r="L45" s="14">
        <v>8.3000000000000004E-2</v>
      </c>
      <c r="M45" s="14">
        <v>8.3000000000000004E-2</v>
      </c>
      <c r="N45" s="14">
        <v>8.3000000000000004E-2</v>
      </c>
      <c r="O45" s="14">
        <v>8.3000000000000004E-2</v>
      </c>
      <c r="P45" s="14">
        <v>8.3000000000000004E-2</v>
      </c>
      <c r="Q45" s="14">
        <v>8.3000000000000004E-2</v>
      </c>
      <c r="R45" s="14">
        <v>8.3000000000000004E-2</v>
      </c>
      <c r="S45" s="14">
        <v>8.3000000000000004E-2</v>
      </c>
      <c r="T45" s="14">
        <v>8.3000000000000004E-2</v>
      </c>
      <c r="U45" s="14">
        <v>8.3000000000000004E-2</v>
      </c>
      <c r="V45" s="14">
        <v>8.3000000000000004E-2</v>
      </c>
      <c r="W45" s="14">
        <v>8.3000000000000004E-2</v>
      </c>
      <c r="X45" s="14">
        <v>8.3000000000000004E-2</v>
      </c>
      <c r="Y45" s="14">
        <v>8.3000000000000004E-2</v>
      </c>
      <c r="Z45" s="14">
        <v>8.3000000000000004E-2</v>
      </c>
      <c r="AA45" s="14">
        <v>8.3000000000000004E-2</v>
      </c>
      <c r="AB45" s="14">
        <v>8.3000000000000004E-2</v>
      </c>
      <c r="AC45" s="14">
        <v>8.3000000000000004E-2</v>
      </c>
      <c r="AD45" s="14">
        <v>8.3000000000000004E-2</v>
      </c>
      <c r="AE45" s="14">
        <v>8.3000000000000004E-2</v>
      </c>
      <c r="AF45" s="14">
        <v>8.3000000000000004E-2</v>
      </c>
      <c r="AG45" s="14">
        <v>8.3000000000000004E-2</v>
      </c>
      <c r="AH45" s="14">
        <v>8.3000000000000004E-2</v>
      </c>
      <c r="AI45" s="14">
        <v>8.3000000000000004E-2</v>
      </c>
      <c r="AJ45" s="14">
        <v>8.3000000000000004E-2</v>
      </c>
      <c r="AK45" s="14">
        <v>8.3000000000000004E-2</v>
      </c>
      <c r="AL45" s="14">
        <v>8.3000000000000004E-2</v>
      </c>
      <c r="AM45" s="14">
        <v>8.3000000000000004E-2</v>
      </c>
      <c r="AN45" s="14">
        <v>8.3000000000000004E-2</v>
      </c>
      <c r="AO45" s="14">
        <v>8.3000000000000004E-2</v>
      </c>
      <c r="AP45" s="14">
        <v>8.3000000000000004E-2</v>
      </c>
      <c r="AQ45" s="14">
        <v>8.3000000000000004E-2</v>
      </c>
      <c r="AR45" s="14">
        <v>8.3000000000000004E-2</v>
      </c>
    </row>
    <row r="46" spans="8:44" x14ac:dyDescent="0.3">
      <c r="H46" s="13"/>
      <c r="J46" s="67"/>
      <c r="K46" s="6" t="s">
        <v>14</v>
      </c>
      <c r="L46" s="14">
        <v>8.3000000000000004E-2</v>
      </c>
      <c r="M46" s="14">
        <v>8.3000000000000004E-2</v>
      </c>
      <c r="N46" s="14">
        <v>8.3000000000000004E-2</v>
      </c>
      <c r="O46" s="14">
        <v>8.3000000000000004E-2</v>
      </c>
      <c r="P46" s="14">
        <v>8.3000000000000004E-2</v>
      </c>
      <c r="Q46" s="14">
        <v>8.3000000000000004E-2</v>
      </c>
      <c r="R46" s="14">
        <v>8.3000000000000004E-2</v>
      </c>
      <c r="S46" s="14">
        <v>8.3000000000000004E-2</v>
      </c>
      <c r="T46" s="14">
        <v>8.3000000000000004E-2</v>
      </c>
      <c r="U46" s="14">
        <v>8.3000000000000004E-2</v>
      </c>
      <c r="V46" s="14">
        <v>8.3000000000000004E-2</v>
      </c>
      <c r="W46" s="14">
        <v>8.3000000000000004E-2</v>
      </c>
      <c r="X46" s="14">
        <v>8.3000000000000004E-2</v>
      </c>
      <c r="Y46" s="14">
        <v>8.3000000000000004E-2</v>
      </c>
      <c r="Z46" s="14">
        <v>8.3000000000000004E-2</v>
      </c>
      <c r="AA46" s="14">
        <v>8.3000000000000004E-2</v>
      </c>
      <c r="AB46" s="14">
        <v>8.3000000000000004E-2</v>
      </c>
      <c r="AC46" s="14">
        <v>8.3000000000000004E-2</v>
      </c>
      <c r="AD46" s="14">
        <v>8.3000000000000004E-2</v>
      </c>
      <c r="AE46" s="14">
        <v>8.3000000000000004E-2</v>
      </c>
      <c r="AF46" s="14">
        <v>8.3000000000000004E-2</v>
      </c>
      <c r="AG46" s="14">
        <v>8.3000000000000004E-2</v>
      </c>
      <c r="AH46" s="14">
        <v>8.3000000000000004E-2</v>
      </c>
      <c r="AI46" s="14">
        <v>8.3000000000000004E-2</v>
      </c>
      <c r="AJ46" s="14">
        <v>8.3000000000000004E-2</v>
      </c>
      <c r="AK46" s="14">
        <v>8.3000000000000004E-2</v>
      </c>
      <c r="AL46" s="14">
        <v>8.3000000000000004E-2</v>
      </c>
      <c r="AM46" s="14">
        <v>8.3000000000000004E-2</v>
      </c>
      <c r="AN46" s="14">
        <v>8.3000000000000004E-2</v>
      </c>
      <c r="AO46" s="14">
        <v>8.3000000000000004E-2</v>
      </c>
      <c r="AP46" s="14">
        <v>8.3000000000000004E-2</v>
      </c>
      <c r="AQ46" s="14">
        <v>8.3000000000000004E-2</v>
      </c>
      <c r="AR46" s="14">
        <v>8.3000000000000004E-2</v>
      </c>
    </row>
    <row r="47" spans="8:44" x14ac:dyDescent="0.3">
      <c r="H47" s="13"/>
    </row>
    <row r="48" spans="8:44" x14ac:dyDescent="0.3">
      <c r="H48" s="13"/>
    </row>
    <row r="49" spans="8:8" x14ac:dyDescent="0.3">
      <c r="H49" s="13"/>
    </row>
    <row r="50" spans="8:8" x14ac:dyDescent="0.3">
      <c r="H50" s="13"/>
    </row>
    <row r="51" spans="8:8" x14ac:dyDescent="0.3">
      <c r="H51" s="13"/>
    </row>
    <row r="52" spans="8:8" x14ac:dyDescent="0.3">
      <c r="H52" s="13"/>
    </row>
    <row r="53" spans="8:8" x14ac:dyDescent="0.3">
      <c r="H53" s="13"/>
    </row>
    <row r="54" spans="8:8" x14ac:dyDescent="0.3">
      <c r="H54" s="13"/>
    </row>
    <row r="55" spans="8:8" x14ac:dyDescent="0.3">
      <c r="H55" s="13"/>
    </row>
    <row r="56" spans="8:8" x14ac:dyDescent="0.3">
      <c r="H56" s="13"/>
    </row>
    <row r="57" spans="8:8" x14ac:dyDescent="0.3">
      <c r="H57" s="13"/>
    </row>
    <row r="58" spans="8:8" x14ac:dyDescent="0.3">
      <c r="H58" s="13"/>
    </row>
    <row r="59" spans="8:8" x14ac:dyDescent="0.3">
      <c r="H59" s="13"/>
    </row>
    <row r="60" spans="8:8" x14ac:dyDescent="0.3">
      <c r="H60" s="13"/>
    </row>
    <row r="61" spans="8:8" x14ac:dyDescent="0.3">
      <c r="H61" s="13"/>
    </row>
    <row r="62" spans="8:8" x14ac:dyDescent="0.3">
      <c r="H62" s="13"/>
    </row>
    <row r="63" spans="8:8" x14ac:dyDescent="0.3">
      <c r="H63" s="13"/>
    </row>
    <row r="64" spans="8:8" x14ac:dyDescent="0.3">
      <c r="H64" s="13"/>
    </row>
    <row r="65" spans="8:8" x14ac:dyDescent="0.3">
      <c r="H65" s="13"/>
    </row>
    <row r="66" spans="8:8" x14ac:dyDescent="0.3">
      <c r="H66" s="13"/>
    </row>
    <row r="67" spans="8:8" x14ac:dyDescent="0.3">
      <c r="H67" s="13"/>
    </row>
    <row r="68" spans="8:8" x14ac:dyDescent="0.3">
      <c r="H68" s="13"/>
    </row>
    <row r="69" spans="8:8" x14ac:dyDescent="0.3">
      <c r="H69" s="13"/>
    </row>
    <row r="70" spans="8:8" x14ac:dyDescent="0.3">
      <c r="H70" s="13"/>
    </row>
    <row r="71" spans="8:8" x14ac:dyDescent="0.3">
      <c r="H71" s="13"/>
    </row>
    <row r="72" spans="8:8" x14ac:dyDescent="0.3">
      <c r="H72" s="13"/>
    </row>
    <row r="73" spans="8:8" x14ac:dyDescent="0.3">
      <c r="H73" s="13"/>
    </row>
    <row r="74" spans="8:8" x14ac:dyDescent="0.3">
      <c r="H74" s="13"/>
    </row>
    <row r="75" spans="8:8" x14ac:dyDescent="0.3">
      <c r="H75" s="13"/>
    </row>
    <row r="76" spans="8:8" x14ac:dyDescent="0.3">
      <c r="H76" s="13"/>
    </row>
    <row r="77" spans="8:8" x14ac:dyDescent="0.3">
      <c r="H77" s="13"/>
    </row>
    <row r="78" spans="8:8" x14ac:dyDescent="0.3">
      <c r="H78" s="13"/>
    </row>
    <row r="79" spans="8:8" x14ac:dyDescent="0.3">
      <c r="H79" s="13"/>
    </row>
    <row r="80" spans="8:8" x14ac:dyDescent="0.3">
      <c r="H80" s="13"/>
    </row>
    <row r="81" spans="8:8" x14ac:dyDescent="0.3">
      <c r="H81" s="13"/>
    </row>
    <row r="82" spans="8:8" x14ac:dyDescent="0.3">
      <c r="H82" s="13"/>
    </row>
    <row r="83" spans="8:8" x14ac:dyDescent="0.3">
      <c r="H83" s="13"/>
    </row>
    <row r="84" spans="8:8" x14ac:dyDescent="0.3">
      <c r="H84" s="13"/>
    </row>
    <row r="85" spans="8:8" x14ac:dyDescent="0.3">
      <c r="H85" s="13"/>
    </row>
    <row r="86" spans="8:8" x14ac:dyDescent="0.3">
      <c r="H86" s="13"/>
    </row>
    <row r="87" spans="8:8" x14ac:dyDescent="0.3">
      <c r="H87" s="13"/>
    </row>
    <row r="88" spans="8:8" x14ac:dyDescent="0.3">
      <c r="H88" s="13"/>
    </row>
    <row r="89" spans="8:8" x14ac:dyDescent="0.3">
      <c r="H89" s="13"/>
    </row>
    <row r="90" spans="8:8" x14ac:dyDescent="0.3">
      <c r="H90" s="13"/>
    </row>
    <row r="91" spans="8:8" x14ac:dyDescent="0.3">
      <c r="H91" s="13"/>
    </row>
    <row r="92" spans="8:8" x14ac:dyDescent="0.3">
      <c r="H92" s="13"/>
    </row>
    <row r="93" spans="8:8" x14ac:dyDescent="0.3">
      <c r="H93" s="13"/>
    </row>
    <row r="94" spans="8:8" x14ac:dyDescent="0.3">
      <c r="H94" s="13"/>
    </row>
    <row r="95" spans="8:8" x14ac:dyDescent="0.3">
      <c r="H95" s="13"/>
    </row>
    <row r="96" spans="8:8" x14ac:dyDescent="0.3">
      <c r="H96" s="13"/>
    </row>
    <row r="97" spans="8:8" x14ac:dyDescent="0.3">
      <c r="H97" s="13"/>
    </row>
    <row r="98" spans="8:8" x14ac:dyDescent="0.3">
      <c r="H98" s="13"/>
    </row>
    <row r="99" spans="8:8" x14ac:dyDescent="0.3">
      <c r="H99" s="13"/>
    </row>
    <row r="100" spans="8:8" x14ac:dyDescent="0.3">
      <c r="H100" s="13"/>
    </row>
    <row r="101" spans="8:8" x14ac:dyDescent="0.3">
      <c r="H101" s="13"/>
    </row>
    <row r="102" spans="8:8" x14ac:dyDescent="0.3">
      <c r="H102" s="13"/>
    </row>
    <row r="103" spans="8:8" x14ac:dyDescent="0.3">
      <c r="H103" s="13"/>
    </row>
    <row r="104" spans="8:8" x14ac:dyDescent="0.3">
      <c r="H104" s="13"/>
    </row>
    <row r="105" spans="8:8" x14ac:dyDescent="0.3">
      <c r="H105" s="13"/>
    </row>
    <row r="106" spans="8:8" x14ac:dyDescent="0.3">
      <c r="H106" s="13"/>
    </row>
    <row r="107" spans="8:8" x14ac:dyDescent="0.3">
      <c r="H107" s="13"/>
    </row>
    <row r="108" spans="8:8" x14ac:dyDescent="0.3">
      <c r="H108" s="13"/>
    </row>
    <row r="109" spans="8:8" x14ac:dyDescent="0.3">
      <c r="H109" s="13"/>
    </row>
    <row r="110" spans="8:8" x14ac:dyDescent="0.3">
      <c r="H110" s="13"/>
    </row>
    <row r="111" spans="8:8" x14ac:dyDescent="0.3">
      <c r="H111" s="13"/>
    </row>
    <row r="112" spans="8:8" x14ac:dyDescent="0.3">
      <c r="H112" s="13"/>
    </row>
    <row r="113" spans="8:8" x14ac:dyDescent="0.3">
      <c r="H113" s="13"/>
    </row>
    <row r="114" spans="8:8" x14ac:dyDescent="0.3">
      <c r="H114" s="13"/>
    </row>
    <row r="115" spans="8:8" x14ac:dyDescent="0.3">
      <c r="H115" s="13"/>
    </row>
    <row r="116" spans="8:8" x14ac:dyDescent="0.3">
      <c r="H116" s="13"/>
    </row>
    <row r="117" spans="8:8" x14ac:dyDescent="0.3">
      <c r="H117" s="13"/>
    </row>
    <row r="118" spans="8:8" x14ac:dyDescent="0.3">
      <c r="H118" s="13"/>
    </row>
    <row r="119" spans="8:8" x14ac:dyDescent="0.3">
      <c r="H119" s="13"/>
    </row>
    <row r="120" spans="8:8" x14ac:dyDescent="0.3">
      <c r="H120" s="13"/>
    </row>
    <row r="121" spans="8:8" x14ac:dyDescent="0.3">
      <c r="H121" s="13"/>
    </row>
    <row r="122" spans="8:8" x14ac:dyDescent="0.3">
      <c r="H122" s="13"/>
    </row>
    <row r="123" spans="8:8" x14ac:dyDescent="0.3">
      <c r="H123" s="13"/>
    </row>
    <row r="124" spans="8:8" x14ac:dyDescent="0.3">
      <c r="H124" s="13"/>
    </row>
    <row r="125" spans="8:8" x14ac:dyDescent="0.3">
      <c r="H125" s="13"/>
    </row>
    <row r="126" spans="8:8" x14ac:dyDescent="0.3">
      <c r="H126" s="13"/>
    </row>
    <row r="127" spans="8:8" x14ac:dyDescent="0.3">
      <c r="H127" s="13"/>
    </row>
    <row r="128" spans="8:8" x14ac:dyDescent="0.3">
      <c r="H128" s="13"/>
    </row>
    <row r="129" spans="8:8" x14ac:dyDescent="0.3">
      <c r="H129" s="13"/>
    </row>
    <row r="130" spans="8:8" x14ac:dyDescent="0.3">
      <c r="H130" s="13"/>
    </row>
    <row r="131" spans="8:8" x14ac:dyDescent="0.3">
      <c r="H131" s="13"/>
    </row>
    <row r="132" spans="8:8" x14ac:dyDescent="0.3">
      <c r="H132" s="13"/>
    </row>
    <row r="133" spans="8:8" x14ac:dyDescent="0.3">
      <c r="H133" s="13"/>
    </row>
    <row r="134" spans="8:8" x14ac:dyDescent="0.3">
      <c r="H134" s="13"/>
    </row>
    <row r="135" spans="8:8" x14ac:dyDescent="0.3">
      <c r="H135" s="13"/>
    </row>
    <row r="136" spans="8:8" x14ac:dyDescent="0.3">
      <c r="H136" s="13"/>
    </row>
    <row r="137" spans="8:8" x14ac:dyDescent="0.3">
      <c r="H137" s="13"/>
    </row>
    <row r="138" spans="8:8" x14ac:dyDescent="0.3">
      <c r="H138" s="13"/>
    </row>
    <row r="139" spans="8:8" x14ac:dyDescent="0.3">
      <c r="H139" s="13"/>
    </row>
    <row r="140" spans="8:8" x14ac:dyDescent="0.3">
      <c r="H140" s="13"/>
    </row>
  </sheetData>
  <mergeCells count="7">
    <mergeCell ref="J41:J46"/>
    <mergeCell ref="H5:T6"/>
    <mergeCell ref="H10:H27"/>
    <mergeCell ref="J10:J15"/>
    <mergeCell ref="J17:J19"/>
    <mergeCell ref="J25:J30"/>
    <mergeCell ref="J33:J3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39F2B-5E39-4F72-BAF7-0ED68779B226}">
  <dimension ref="A4:AI14"/>
  <sheetViews>
    <sheetView workbookViewId="0"/>
  </sheetViews>
  <sheetFormatPr defaultRowHeight="14.4" x14ac:dyDescent="0.3"/>
  <cols>
    <col min="2" max="2" width="27.21875" bestFit="1" customWidth="1"/>
  </cols>
  <sheetData>
    <row r="4" spans="1:35" x14ac:dyDescent="0.3">
      <c r="C4">
        <v>2018</v>
      </c>
      <c r="D4">
        <v>2019</v>
      </c>
      <c r="E4">
        <v>2020</v>
      </c>
      <c r="F4">
        <v>2021</v>
      </c>
      <c r="G4">
        <v>2022</v>
      </c>
      <c r="H4">
        <v>2023</v>
      </c>
      <c r="I4">
        <v>2024</v>
      </c>
      <c r="J4">
        <v>2025</v>
      </c>
      <c r="K4">
        <v>2026</v>
      </c>
      <c r="L4">
        <v>2027</v>
      </c>
      <c r="M4">
        <v>2028</v>
      </c>
      <c r="N4">
        <v>2029</v>
      </c>
      <c r="O4">
        <v>2030</v>
      </c>
      <c r="P4">
        <v>2031</v>
      </c>
      <c r="Q4">
        <v>2032</v>
      </c>
      <c r="R4">
        <v>2033</v>
      </c>
      <c r="S4">
        <v>2034</v>
      </c>
      <c r="T4">
        <v>2035</v>
      </c>
      <c r="U4">
        <v>2036</v>
      </c>
      <c r="V4">
        <v>2037</v>
      </c>
      <c r="W4">
        <v>2038</v>
      </c>
      <c r="X4">
        <v>2039</v>
      </c>
      <c r="Y4">
        <v>2040</v>
      </c>
    </row>
    <row r="5" spans="1:35" x14ac:dyDescent="0.3">
      <c r="A5" t="s">
        <v>55</v>
      </c>
      <c r="B5" t="s">
        <v>8</v>
      </c>
      <c r="C5">
        <v>1633.3913360754739</v>
      </c>
      <c r="D5">
        <v>1544</v>
      </c>
      <c r="E5">
        <v>1454.6086639245261</v>
      </c>
      <c r="F5">
        <v>1364.5016550659996</v>
      </c>
      <c r="G5">
        <v>1274.394646207475</v>
      </c>
      <c r="H5">
        <v>1184.2876373489507</v>
      </c>
      <c r="I5">
        <v>1094.1806284904262</v>
      </c>
      <c r="J5">
        <v>1004.0736196319019</v>
      </c>
      <c r="K5">
        <v>966.70548255321955</v>
      </c>
      <c r="L5">
        <v>929.33734547453719</v>
      </c>
      <c r="M5">
        <v>891.96920839585493</v>
      </c>
      <c r="N5">
        <v>854.60107131717268</v>
      </c>
      <c r="O5">
        <v>817.23293423848986</v>
      </c>
      <c r="P5">
        <v>807.01752256050895</v>
      </c>
      <c r="Q5">
        <v>796.80211088252781</v>
      </c>
      <c r="R5">
        <v>786.58669920454668</v>
      </c>
      <c r="S5">
        <v>776.37128752656554</v>
      </c>
      <c r="T5">
        <v>766.1558758485844</v>
      </c>
      <c r="U5">
        <v>755.94046417060349</v>
      </c>
      <c r="V5">
        <v>745.72505249262235</v>
      </c>
      <c r="W5">
        <v>735.50964081464122</v>
      </c>
      <c r="X5">
        <v>725.29422913666008</v>
      </c>
      <c r="Y5">
        <v>715.07881745867917</v>
      </c>
    </row>
    <row r="6" spans="1:35" x14ac:dyDescent="0.3">
      <c r="A6" t="s">
        <v>56</v>
      </c>
      <c r="B6" t="s">
        <v>69</v>
      </c>
      <c r="F6">
        <f>F5*Deflator!$E$24</f>
        <v>1402.4653924900706</v>
      </c>
      <c r="G6">
        <f>G5*Deflator!$E$24</f>
        <v>1309.8513886332821</v>
      </c>
      <c r="H6">
        <f>H5*Deflator!$E$24</f>
        <v>1217.2373847764936</v>
      </c>
      <c r="I6">
        <f>I5*Deflator!$E$24</f>
        <v>1124.6233809197051</v>
      </c>
      <c r="J6">
        <f>J5*Deflator!$E$24</f>
        <v>1032.0093770629169</v>
      </c>
      <c r="K6">
        <f>K5*Deflator!$E$24</f>
        <v>993.60156799936374</v>
      </c>
      <c r="L6">
        <f>L5*Deflator!$E$24</f>
        <v>955.19375893581071</v>
      </c>
      <c r="M6">
        <f>M5*Deflator!$E$24</f>
        <v>916.78594987225779</v>
      </c>
      <c r="N6">
        <f>N5*Deflator!$E$24</f>
        <v>878.37814080870487</v>
      </c>
      <c r="O6">
        <f>O5*Deflator!$E$24</f>
        <v>839.97033174515138</v>
      </c>
      <c r="P6">
        <f>P5*Deflator!$E$24</f>
        <v>829.4707025983372</v>
      </c>
      <c r="Q6">
        <f>Q5*Deflator!$E$24</f>
        <v>818.97107345152278</v>
      </c>
      <c r="R6">
        <f>R5*Deflator!$E$24</f>
        <v>808.47144430470837</v>
      </c>
      <c r="S6">
        <f>S5*Deflator!$E$24</f>
        <v>797.97181515789396</v>
      </c>
      <c r="T6">
        <f>T5*Deflator!$E$24</f>
        <v>787.47218601107954</v>
      </c>
      <c r="U6">
        <f>U5*Deflator!$E$24</f>
        <v>776.97255686426536</v>
      </c>
      <c r="V6">
        <f>V5*Deflator!$E$24</f>
        <v>766.47292771745094</v>
      </c>
      <c r="W6">
        <f>W5*Deflator!$E$24</f>
        <v>755.97329857063653</v>
      </c>
      <c r="X6">
        <f>X5*Deflator!$E$24</f>
        <v>745.47366942382212</v>
      </c>
      <c r="Y6">
        <f>Y5*Deflator!$E$24</f>
        <v>734.97404027700804</v>
      </c>
    </row>
    <row r="7" spans="1:35" x14ac:dyDescent="0.3">
      <c r="A7" t="s">
        <v>55</v>
      </c>
      <c r="B7" t="s">
        <v>67</v>
      </c>
      <c r="C7" s="4">
        <v>1633.3913360754739</v>
      </c>
      <c r="D7" s="4">
        <v>1544</v>
      </c>
      <c r="E7" s="4">
        <v>1202.5639796527782</v>
      </c>
      <c r="F7" s="4">
        <v>1117.9212930958715</v>
      </c>
      <c r="G7" s="4">
        <v>1033.2786065389648</v>
      </c>
      <c r="H7" s="4">
        <v>948.63591998205811</v>
      </c>
      <c r="I7" s="4">
        <v>863.9932334251514</v>
      </c>
      <c r="J7" s="4">
        <v>779.35054686824492</v>
      </c>
      <c r="K7" s="4">
        <v>736.9615905312719</v>
      </c>
      <c r="L7" s="4">
        <v>694.57263419429864</v>
      </c>
      <c r="M7" s="4">
        <v>652.18367785732562</v>
      </c>
      <c r="N7" s="4">
        <v>609.79472152035237</v>
      </c>
      <c r="O7" s="4">
        <v>567.40576518337912</v>
      </c>
      <c r="P7" s="4">
        <v>556.30434803848686</v>
      </c>
      <c r="Q7" s="4">
        <v>545.20293089359461</v>
      </c>
      <c r="R7" s="4">
        <v>534.10151374870236</v>
      </c>
      <c r="S7" s="4">
        <v>523.00009660381011</v>
      </c>
      <c r="T7" s="4">
        <v>511.89867945891791</v>
      </c>
      <c r="U7" s="4">
        <v>500.79726231402572</v>
      </c>
      <c r="V7" s="4">
        <v>489.69584516913346</v>
      </c>
      <c r="W7" s="4">
        <v>478.59442802424121</v>
      </c>
      <c r="X7" s="4">
        <v>467.49301087934896</v>
      </c>
      <c r="Y7" s="4">
        <v>456.39159373445676</v>
      </c>
      <c r="Z7" s="4">
        <v>445.29017658956451</v>
      </c>
      <c r="AA7" s="4">
        <v>434.18875944467231</v>
      </c>
      <c r="AB7" s="4">
        <v>423.08734229978006</v>
      </c>
      <c r="AC7" s="4">
        <v>411.98592515488781</v>
      </c>
      <c r="AD7" s="4">
        <v>400.88450800999556</v>
      </c>
      <c r="AE7" s="4">
        <v>389.78309086510336</v>
      </c>
      <c r="AF7" s="4">
        <v>378.68167372021117</v>
      </c>
      <c r="AG7" s="4">
        <v>367.58025657531897</v>
      </c>
      <c r="AH7" s="4">
        <v>356.47883943042677</v>
      </c>
      <c r="AI7" s="4">
        <v>345.3774222855352</v>
      </c>
    </row>
    <row r="8" spans="1:35" x14ac:dyDescent="0.3">
      <c r="A8" t="s">
        <v>56</v>
      </c>
      <c r="B8" t="s">
        <v>68</v>
      </c>
      <c r="F8">
        <f>F7*Deflator!$E$24</f>
        <v>1149.0245682544619</v>
      </c>
      <c r="G8">
        <f>G7*Deflator!$E$24</f>
        <v>1062.0269173665233</v>
      </c>
      <c r="H8">
        <f>H7*Deflator!$E$24</f>
        <v>975.02926647858465</v>
      </c>
      <c r="I8">
        <f>I7*Deflator!$E$24</f>
        <v>888.03161559064608</v>
      </c>
      <c r="J8">
        <f>J7*Deflator!$E$24</f>
        <v>801.03396470270775</v>
      </c>
      <c r="K8">
        <f>K7*Deflator!$E$24</f>
        <v>757.46564504134255</v>
      </c>
      <c r="L8">
        <f>L7*Deflator!$E$24</f>
        <v>713.89732537997713</v>
      </c>
      <c r="M8">
        <f>M7*Deflator!$E$24</f>
        <v>670.32900571861194</v>
      </c>
      <c r="N8">
        <f>N7*Deflator!$E$24</f>
        <v>626.76068605724652</v>
      </c>
      <c r="O8">
        <f>O7*Deflator!$E$24</f>
        <v>583.19236639588109</v>
      </c>
      <c r="P8">
        <f>P7*Deflator!$E$24</f>
        <v>571.78208096639639</v>
      </c>
      <c r="Q8">
        <f>Q7*Deflator!$E$24</f>
        <v>560.3717955369118</v>
      </c>
      <c r="R8">
        <f>R7*Deflator!$E$24</f>
        <v>548.9615101074271</v>
      </c>
      <c r="S8">
        <f>S7*Deflator!$E$24</f>
        <v>537.5512246779424</v>
      </c>
      <c r="T8">
        <f>T7*Deflator!$E$24</f>
        <v>526.14093924845781</v>
      </c>
      <c r="U8">
        <f>U7*Deflator!$E$24</f>
        <v>514.73065381897311</v>
      </c>
      <c r="V8">
        <f>V7*Deflator!$E$24</f>
        <v>503.32036838948846</v>
      </c>
      <c r="W8">
        <f>W7*Deflator!$E$24</f>
        <v>491.91008296000376</v>
      </c>
      <c r="X8">
        <f>X7*Deflator!$E$24</f>
        <v>480.49979753051906</v>
      </c>
      <c r="Y8">
        <f>Y7*Deflator!$E$24</f>
        <v>469.08951210103447</v>
      </c>
    </row>
    <row r="9" spans="1:35" x14ac:dyDescent="0.3">
      <c r="A9" t="s">
        <v>56</v>
      </c>
      <c r="B9" t="s">
        <v>54</v>
      </c>
      <c r="F9">
        <v>1165.2860109999999</v>
      </c>
      <c r="G9">
        <v>1034.786255</v>
      </c>
      <c r="H9">
        <v>936.708618</v>
      </c>
      <c r="I9">
        <v>902.99658199999999</v>
      </c>
      <c r="J9">
        <v>885.07458499999996</v>
      </c>
      <c r="K9">
        <v>861.58752400000003</v>
      </c>
      <c r="L9">
        <v>821.81994599999996</v>
      </c>
      <c r="M9">
        <v>796.728882</v>
      </c>
      <c r="N9">
        <v>771.07086200000003</v>
      </c>
      <c r="O9">
        <v>745.27203399999996</v>
      </c>
      <c r="P9">
        <v>720.08288600000003</v>
      </c>
      <c r="Q9">
        <v>694.68353300000001</v>
      </c>
      <c r="R9">
        <v>670.35375999999997</v>
      </c>
      <c r="S9">
        <v>650.614014</v>
      </c>
      <c r="T9">
        <v>644.11059599999999</v>
      </c>
      <c r="U9">
        <v>637.743469</v>
      </c>
      <c r="V9">
        <v>631.89398200000005</v>
      </c>
      <c r="W9">
        <v>626.230591</v>
      </c>
      <c r="X9">
        <v>620.52191200000004</v>
      </c>
      <c r="Y9">
        <v>614.55285600000002</v>
      </c>
      <c r="Z9">
        <v>608.73529099999996</v>
      </c>
      <c r="AA9">
        <v>603.49145499999997</v>
      </c>
      <c r="AB9">
        <v>598.11889599999995</v>
      </c>
    </row>
    <row r="12" spans="1:35" x14ac:dyDescent="0.3">
      <c r="A12" t="s">
        <v>46</v>
      </c>
      <c r="B12" t="s">
        <v>8</v>
      </c>
      <c r="F12">
        <f>F6*1.025^(F4-$E$4)</f>
        <v>1437.5270273023223</v>
      </c>
      <c r="G12">
        <f>G6*1.025^(G4-$E$4)</f>
        <v>1376.1626151828418</v>
      </c>
      <c r="H12">
        <f t="shared" ref="H12:Y12" si="0">H6*1.025^(H4-$E$4)</f>
        <v>1310.8315280653235</v>
      </c>
      <c r="I12">
        <f t="shared" si="0"/>
        <v>1241.37378495744</v>
      </c>
      <c r="J12">
        <f t="shared" si="0"/>
        <v>1167.6238849891215</v>
      </c>
      <c r="K12">
        <f t="shared" si="0"/>
        <v>1152.2731987348695</v>
      </c>
      <c r="L12">
        <f t="shared" si="0"/>
        <v>1135.4252132397871</v>
      </c>
      <c r="M12">
        <f t="shared" si="0"/>
        <v>1117.0146577207411</v>
      </c>
      <c r="N12">
        <f t="shared" si="0"/>
        <v>1096.9739336674679</v>
      </c>
      <c r="O12">
        <f t="shared" si="0"/>
        <v>1075.233039250455</v>
      </c>
      <c r="P12">
        <f t="shared" si="0"/>
        <v>1088.3374419163201</v>
      </c>
      <c r="Q12">
        <f t="shared" si="0"/>
        <v>1101.4250440659466</v>
      </c>
      <c r="R12">
        <f t="shared" si="0"/>
        <v>1114.4868154218568</v>
      </c>
      <c r="S12">
        <f t="shared" si="0"/>
        <v>1127.5132846930212</v>
      </c>
      <c r="T12">
        <f t="shared" si="0"/>
        <v>1140.4945231681056</v>
      </c>
      <c r="U12">
        <f t="shared" si="0"/>
        <v>1153.4201277640109</v>
      </c>
      <c r="V12">
        <f t="shared" si="0"/>
        <v>1166.2792035127311</v>
      </c>
      <c r="W12">
        <f t="shared" si="0"/>
        <v>1179.0603454690352</v>
      </c>
      <c r="X12">
        <f t="shared" si="0"/>
        <v>1191.7516200209586</v>
      </c>
      <c r="Y12">
        <f t="shared" si="0"/>
        <v>1204.3405455845607</v>
      </c>
    </row>
    <row r="13" spans="1:35" x14ac:dyDescent="0.3">
      <c r="A13" t="s">
        <v>46</v>
      </c>
      <c r="B13" t="s">
        <v>54</v>
      </c>
      <c r="F13">
        <f>F9*1.025^(F4-$E$4)</f>
        <v>1194.4181612749999</v>
      </c>
      <c r="G13">
        <f t="shared" ref="G13:Y13" si="1">G9*1.025^(G4-$E$4)</f>
        <v>1087.1723091593749</v>
      </c>
      <c r="H13">
        <f t="shared" si="1"/>
        <v>1008.7327290809061</v>
      </c>
      <c r="I13">
        <f t="shared" si="1"/>
        <v>996.73926740191462</v>
      </c>
      <c r="J13">
        <f t="shared" si="1"/>
        <v>1001.3806544897612</v>
      </c>
      <c r="K13">
        <f t="shared" si="1"/>
        <v>999.17738079714059</v>
      </c>
      <c r="L13">
        <f t="shared" si="1"/>
        <v>976.88566189057963</v>
      </c>
      <c r="M13">
        <f t="shared" si="1"/>
        <v>970.73677835863737</v>
      </c>
      <c r="N13">
        <f t="shared" si="1"/>
        <v>962.96184675742654</v>
      </c>
      <c r="O13">
        <f t="shared" si="1"/>
        <v>954.01121194518191</v>
      </c>
      <c r="P13">
        <f t="shared" si="1"/>
        <v>944.81114723163012</v>
      </c>
      <c r="Q13">
        <f t="shared" si="1"/>
        <v>934.27211991963406</v>
      </c>
      <c r="R13">
        <f t="shared" si="1"/>
        <v>924.09006211837175</v>
      </c>
      <c r="S13">
        <f t="shared" si="1"/>
        <v>919.30056934065931</v>
      </c>
      <c r="T13">
        <f t="shared" si="1"/>
        <v>932.8641952088052</v>
      </c>
      <c r="U13">
        <f t="shared" si="1"/>
        <v>946.73376427006565</v>
      </c>
      <c r="V13">
        <f t="shared" si="1"/>
        <v>961.5014221390993</v>
      </c>
      <c r="W13">
        <f t="shared" si="1"/>
        <v>976.70600054764611</v>
      </c>
      <c r="X13">
        <f t="shared" si="1"/>
        <v>991.99746981817589</v>
      </c>
      <c r="Y13">
        <f t="shared" si="1"/>
        <v>1007.0164132690161</v>
      </c>
    </row>
    <row r="14" spans="1:35" x14ac:dyDescent="0.3">
      <c r="B14" t="s">
        <v>70</v>
      </c>
      <c r="F14">
        <v>1990.8766946727951</v>
      </c>
      <c r="G14">
        <v>1914.5103882742208</v>
      </c>
      <c r="H14">
        <v>1855.045173871056</v>
      </c>
      <c r="I14">
        <v>2157.6434416745192</v>
      </c>
      <c r="J14">
        <v>2302.6717765131511</v>
      </c>
      <c r="K14">
        <v>2286.8659268198576</v>
      </c>
      <c r="L14">
        <v>2281.1159047337446</v>
      </c>
      <c r="M14">
        <v>2278.0825130636658</v>
      </c>
      <c r="N14">
        <v>2275.4839970135458</v>
      </c>
      <c r="O14">
        <v>2275.4410463350314</v>
      </c>
      <c r="P14">
        <v>2280.7615616360004</v>
      </c>
      <c r="Q14">
        <v>2289.2711648166628</v>
      </c>
      <c r="R14">
        <v>2294.2104928458166</v>
      </c>
      <c r="S14">
        <v>2297.7431861536243</v>
      </c>
      <c r="T14">
        <v>2296.5298294855929</v>
      </c>
      <c r="U14">
        <v>2298.2156436172827</v>
      </c>
      <c r="V14">
        <v>2296.3848709456065</v>
      </c>
      <c r="W14">
        <v>2293.0561933607419</v>
      </c>
      <c r="X14">
        <v>2292.0575900852828</v>
      </c>
      <c r="Y14">
        <v>2294.3500825509877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F8B17-E33C-4079-A45D-27784121C4B4}">
  <dimension ref="B2:H56"/>
  <sheetViews>
    <sheetView topLeftCell="A20" zoomScale="120" zoomScaleNormal="120" workbookViewId="0">
      <selection activeCell="E7" sqref="E7"/>
    </sheetView>
  </sheetViews>
  <sheetFormatPr defaultColWidth="9.21875" defaultRowHeight="11.4" x14ac:dyDescent="0.2"/>
  <cols>
    <col min="1" max="1" width="9.21875" style="37"/>
    <col min="2" max="2" width="24.44140625" style="37" customWidth="1"/>
    <col min="3" max="6" width="17.77734375" style="37" customWidth="1"/>
    <col min="7" max="7" width="5.21875" style="37" customWidth="1"/>
    <col min="8" max="9" width="17.77734375" style="37" customWidth="1"/>
    <col min="10" max="10" width="8.44140625" style="37" customWidth="1"/>
    <col min="11" max="257" width="9.21875" style="37"/>
    <col min="258" max="258" width="24.44140625" style="37" customWidth="1"/>
    <col min="259" max="264" width="17.77734375" style="37" customWidth="1"/>
    <col min="265" max="265" width="11.77734375" style="37" customWidth="1"/>
    <col min="266" max="266" width="8.44140625" style="37" customWidth="1"/>
    <col min="267" max="513" width="9.21875" style="37"/>
    <col min="514" max="514" width="24.44140625" style="37" customWidth="1"/>
    <col min="515" max="520" width="17.77734375" style="37" customWidth="1"/>
    <col min="521" max="521" width="11.77734375" style="37" customWidth="1"/>
    <col min="522" max="522" width="8.44140625" style="37" customWidth="1"/>
    <col min="523" max="769" width="9.21875" style="37"/>
    <col min="770" max="770" width="24.44140625" style="37" customWidth="1"/>
    <col min="771" max="776" width="17.77734375" style="37" customWidth="1"/>
    <col min="777" max="777" width="11.77734375" style="37" customWidth="1"/>
    <col min="778" max="778" width="8.44140625" style="37" customWidth="1"/>
    <col min="779" max="1025" width="9.21875" style="37"/>
    <col min="1026" max="1026" width="24.44140625" style="37" customWidth="1"/>
    <col min="1027" max="1032" width="17.77734375" style="37" customWidth="1"/>
    <col min="1033" max="1033" width="11.77734375" style="37" customWidth="1"/>
    <col min="1034" max="1034" width="8.44140625" style="37" customWidth="1"/>
    <col min="1035" max="1281" width="9.21875" style="37"/>
    <col min="1282" max="1282" width="24.44140625" style="37" customWidth="1"/>
    <col min="1283" max="1288" width="17.77734375" style="37" customWidth="1"/>
    <col min="1289" max="1289" width="11.77734375" style="37" customWidth="1"/>
    <col min="1290" max="1290" width="8.44140625" style="37" customWidth="1"/>
    <col min="1291" max="1537" width="9.21875" style="37"/>
    <col min="1538" max="1538" width="24.44140625" style="37" customWidth="1"/>
    <col min="1539" max="1544" width="17.77734375" style="37" customWidth="1"/>
    <col min="1545" max="1545" width="11.77734375" style="37" customWidth="1"/>
    <col min="1546" max="1546" width="8.44140625" style="37" customWidth="1"/>
    <col min="1547" max="1793" width="9.21875" style="37"/>
    <col min="1794" max="1794" width="24.44140625" style="37" customWidth="1"/>
    <col min="1795" max="1800" width="17.77734375" style="37" customWidth="1"/>
    <col min="1801" max="1801" width="11.77734375" style="37" customWidth="1"/>
    <col min="1802" max="1802" width="8.44140625" style="37" customWidth="1"/>
    <col min="1803" max="2049" width="9.21875" style="37"/>
    <col min="2050" max="2050" width="24.44140625" style="37" customWidth="1"/>
    <col min="2051" max="2056" width="17.77734375" style="37" customWidth="1"/>
    <col min="2057" max="2057" width="11.77734375" style="37" customWidth="1"/>
    <col min="2058" max="2058" width="8.44140625" style="37" customWidth="1"/>
    <col min="2059" max="2305" width="9.21875" style="37"/>
    <col min="2306" max="2306" width="24.44140625" style="37" customWidth="1"/>
    <col min="2307" max="2312" width="17.77734375" style="37" customWidth="1"/>
    <col min="2313" max="2313" width="11.77734375" style="37" customWidth="1"/>
    <col min="2314" max="2314" width="8.44140625" style="37" customWidth="1"/>
    <col min="2315" max="2561" width="9.21875" style="37"/>
    <col min="2562" max="2562" width="24.44140625" style="37" customWidth="1"/>
    <col min="2563" max="2568" width="17.77734375" style="37" customWidth="1"/>
    <col min="2569" max="2569" width="11.77734375" style="37" customWidth="1"/>
    <col min="2570" max="2570" width="8.44140625" style="37" customWidth="1"/>
    <col min="2571" max="2817" width="9.21875" style="37"/>
    <col min="2818" max="2818" width="24.44140625" style="37" customWidth="1"/>
    <col min="2819" max="2824" width="17.77734375" style="37" customWidth="1"/>
    <col min="2825" max="2825" width="11.77734375" style="37" customWidth="1"/>
    <col min="2826" max="2826" width="8.44140625" style="37" customWidth="1"/>
    <col min="2827" max="3073" width="9.21875" style="37"/>
    <col min="3074" max="3074" width="24.44140625" style="37" customWidth="1"/>
    <col min="3075" max="3080" width="17.77734375" style="37" customWidth="1"/>
    <col min="3081" max="3081" width="11.77734375" style="37" customWidth="1"/>
    <col min="3082" max="3082" width="8.44140625" style="37" customWidth="1"/>
    <col min="3083" max="3329" width="9.21875" style="37"/>
    <col min="3330" max="3330" width="24.44140625" style="37" customWidth="1"/>
    <col min="3331" max="3336" width="17.77734375" style="37" customWidth="1"/>
    <col min="3337" max="3337" width="11.77734375" style="37" customWidth="1"/>
    <col min="3338" max="3338" width="8.44140625" style="37" customWidth="1"/>
    <col min="3339" max="3585" width="9.21875" style="37"/>
    <col min="3586" max="3586" width="24.44140625" style="37" customWidth="1"/>
    <col min="3587" max="3592" width="17.77734375" style="37" customWidth="1"/>
    <col min="3593" max="3593" width="11.77734375" style="37" customWidth="1"/>
    <col min="3594" max="3594" width="8.44140625" style="37" customWidth="1"/>
    <col min="3595" max="3841" width="9.21875" style="37"/>
    <col min="3842" max="3842" width="24.44140625" style="37" customWidth="1"/>
    <col min="3843" max="3848" width="17.77734375" style="37" customWidth="1"/>
    <col min="3849" max="3849" width="11.77734375" style="37" customWidth="1"/>
    <col min="3850" max="3850" width="8.44140625" style="37" customWidth="1"/>
    <col min="3851" max="4097" width="9.21875" style="37"/>
    <col min="4098" max="4098" width="24.44140625" style="37" customWidth="1"/>
    <col min="4099" max="4104" width="17.77734375" style="37" customWidth="1"/>
    <col min="4105" max="4105" width="11.77734375" style="37" customWidth="1"/>
    <col min="4106" max="4106" width="8.44140625" style="37" customWidth="1"/>
    <col min="4107" max="4353" width="9.21875" style="37"/>
    <col min="4354" max="4354" width="24.44140625" style="37" customWidth="1"/>
    <col min="4355" max="4360" width="17.77734375" style="37" customWidth="1"/>
    <col min="4361" max="4361" width="11.77734375" style="37" customWidth="1"/>
    <col min="4362" max="4362" width="8.44140625" style="37" customWidth="1"/>
    <col min="4363" max="4609" width="9.21875" style="37"/>
    <col min="4610" max="4610" width="24.44140625" style="37" customWidth="1"/>
    <col min="4611" max="4616" width="17.77734375" style="37" customWidth="1"/>
    <col min="4617" max="4617" width="11.77734375" style="37" customWidth="1"/>
    <col min="4618" max="4618" width="8.44140625" style="37" customWidth="1"/>
    <col min="4619" max="4865" width="9.21875" style="37"/>
    <col min="4866" max="4866" width="24.44140625" style="37" customWidth="1"/>
    <col min="4867" max="4872" width="17.77734375" style="37" customWidth="1"/>
    <col min="4873" max="4873" width="11.77734375" style="37" customWidth="1"/>
    <col min="4874" max="4874" width="8.44140625" style="37" customWidth="1"/>
    <col min="4875" max="5121" width="9.21875" style="37"/>
    <col min="5122" max="5122" width="24.44140625" style="37" customWidth="1"/>
    <col min="5123" max="5128" width="17.77734375" style="37" customWidth="1"/>
    <col min="5129" max="5129" width="11.77734375" style="37" customWidth="1"/>
    <col min="5130" max="5130" width="8.44140625" style="37" customWidth="1"/>
    <col min="5131" max="5377" width="9.21875" style="37"/>
    <col min="5378" max="5378" width="24.44140625" style="37" customWidth="1"/>
    <col min="5379" max="5384" width="17.77734375" style="37" customWidth="1"/>
    <col min="5385" max="5385" width="11.77734375" style="37" customWidth="1"/>
    <col min="5386" max="5386" width="8.44140625" style="37" customWidth="1"/>
    <col min="5387" max="5633" width="9.21875" style="37"/>
    <col min="5634" max="5634" width="24.44140625" style="37" customWidth="1"/>
    <col min="5635" max="5640" width="17.77734375" style="37" customWidth="1"/>
    <col min="5641" max="5641" width="11.77734375" style="37" customWidth="1"/>
    <col min="5642" max="5642" width="8.44140625" style="37" customWidth="1"/>
    <col min="5643" max="5889" width="9.21875" style="37"/>
    <col min="5890" max="5890" width="24.44140625" style="37" customWidth="1"/>
    <col min="5891" max="5896" width="17.77734375" style="37" customWidth="1"/>
    <col min="5897" max="5897" width="11.77734375" style="37" customWidth="1"/>
    <col min="5898" max="5898" width="8.44140625" style="37" customWidth="1"/>
    <col min="5899" max="6145" width="9.21875" style="37"/>
    <col min="6146" max="6146" width="24.44140625" style="37" customWidth="1"/>
    <col min="6147" max="6152" width="17.77734375" style="37" customWidth="1"/>
    <col min="6153" max="6153" width="11.77734375" style="37" customWidth="1"/>
    <col min="6154" max="6154" width="8.44140625" style="37" customWidth="1"/>
    <col min="6155" max="6401" width="9.21875" style="37"/>
    <col min="6402" max="6402" width="24.44140625" style="37" customWidth="1"/>
    <col min="6403" max="6408" width="17.77734375" style="37" customWidth="1"/>
    <col min="6409" max="6409" width="11.77734375" style="37" customWidth="1"/>
    <col min="6410" max="6410" width="8.44140625" style="37" customWidth="1"/>
    <col min="6411" max="6657" width="9.21875" style="37"/>
    <col min="6658" max="6658" width="24.44140625" style="37" customWidth="1"/>
    <col min="6659" max="6664" width="17.77734375" style="37" customWidth="1"/>
    <col min="6665" max="6665" width="11.77734375" style="37" customWidth="1"/>
    <col min="6666" max="6666" width="8.44140625" style="37" customWidth="1"/>
    <col min="6667" max="6913" width="9.21875" style="37"/>
    <col min="6914" max="6914" width="24.44140625" style="37" customWidth="1"/>
    <col min="6915" max="6920" width="17.77734375" style="37" customWidth="1"/>
    <col min="6921" max="6921" width="11.77734375" style="37" customWidth="1"/>
    <col min="6922" max="6922" width="8.44140625" style="37" customWidth="1"/>
    <col min="6923" max="7169" width="9.21875" style="37"/>
    <col min="7170" max="7170" width="24.44140625" style="37" customWidth="1"/>
    <col min="7171" max="7176" width="17.77734375" style="37" customWidth="1"/>
    <col min="7177" max="7177" width="11.77734375" style="37" customWidth="1"/>
    <col min="7178" max="7178" width="8.44140625" style="37" customWidth="1"/>
    <col min="7179" max="7425" width="9.21875" style="37"/>
    <col min="7426" max="7426" width="24.44140625" style="37" customWidth="1"/>
    <col min="7427" max="7432" width="17.77734375" style="37" customWidth="1"/>
    <col min="7433" max="7433" width="11.77734375" style="37" customWidth="1"/>
    <col min="7434" max="7434" width="8.44140625" style="37" customWidth="1"/>
    <col min="7435" max="7681" width="9.21875" style="37"/>
    <col min="7682" max="7682" width="24.44140625" style="37" customWidth="1"/>
    <col min="7683" max="7688" width="17.77734375" style="37" customWidth="1"/>
    <col min="7689" max="7689" width="11.77734375" style="37" customWidth="1"/>
    <col min="7690" max="7690" width="8.44140625" style="37" customWidth="1"/>
    <col min="7691" max="7937" width="9.21875" style="37"/>
    <col min="7938" max="7938" width="24.44140625" style="37" customWidth="1"/>
    <col min="7939" max="7944" width="17.77734375" style="37" customWidth="1"/>
    <col min="7945" max="7945" width="11.77734375" style="37" customWidth="1"/>
    <col min="7946" max="7946" width="8.44140625" style="37" customWidth="1"/>
    <col min="7947" max="8193" width="9.21875" style="37"/>
    <col min="8194" max="8194" width="24.44140625" style="37" customWidth="1"/>
    <col min="8195" max="8200" width="17.77734375" style="37" customWidth="1"/>
    <col min="8201" max="8201" width="11.77734375" style="37" customWidth="1"/>
    <col min="8202" max="8202" width="8.44140625" style="37" customWidth="1"/>
    <col min="8203" max="8449" width="9.21875" style="37"/>
    <col min="8450" max="8450" width="24.44140625" style="37" customWidth="1"/>
    <col min="8451" max="8456" width="17.77734375" style="37" customWidth="1"/>
    <col min="8457" max="8457" width="11.77734375" style="37" customWidth="1"/>
    <col min="8458" max="8458" width="8.44140625" style="37" customWidth="1"/>
    <col min="8459" max="8705" width="9.21875" style="37"/>
    <col min="8706" max="8706" width="24.44140625" style="37" customWidth="1"/>
    <col min="8707" max="8712" width="17.77734375" style="37" customWidth="1"/>
    <col min="8713" max="8713" width="11.77734375" style="37" customWidth="1"/>
    <col min="8714" max="8714" width="8.44140625" style="37" customWidth="1"/>
    <col min="8715" max="8961" width="9.21875" style="37"/>
    <col min="8962" max="8962" width="24.44140625" style="37" customWidth="1"/>
    <col min="8963" max="8968" width="17.77734375" style="37" customWidth="1"/>
    <col min="8969" max="8969" width="11.77734375" style="37" customWidth="1"/>
    <col min="8970" max="8970" width="8.44140625" style="37" customWidth="1"/>
    <col min="8971" max="9217" width="9.21875" style="37"/>
    <col min="9218" max="9218" width="24.44140625" style="37" customWidth="1"/>
    <col min="9219" max="9224" width="17.77734375" style="37" customWidth="1"/>
    <col min="9225" max="9225" width="11.77734375" style="37" customWidth="1"/>
    <col min="9226" max="9226" width="8.44140625" style="37" customWidth="1"/>
    <col min="9227" max="9473" width="9.21875" style="37"/>
    <col min="9474" max="9474" width="24.44140625" style="37" customWidth="1"/>
    <col min="9475" max="9480" width="17.77734375" style="37" customWidth="1"/>
    <col min="9481" max="9481" width="11.77734375" style="37" customWidth="1"/>
    <col min="9482" max="9482" width="8.44140625" style="37" customWidth="1"/>
    <col min="9483" max="9729" width="9.21875" style="37"/>
    <col min="9730" max="9730" width="24.44140625" style="37" customWidth="1"/>
    <col min="9731" max="9736" width="17.77734375" style="37" customWidth="1"/>
    <col min="9737" max="9737" width="11.77734375" style="37" customWidth="1"/>
    <col min="9738" max="9738" width="8.44140625" style="37" customWidth="1"/>
    <col min="9739" max="9985" width="9.21875" style="37"/>
    <col min="9986" max="9986" width="24.44140625" style="37" customWidth="1"/>
    <col min="9987" max="9992" width="17.77734375" style="37" customWidth="1"/>
    <col min="9993" max="9993" width="11.77734375" style="37" customWidth="1"/>
    <col min="9994" max="9994" width="8.44140625" style="37" customWidth="1"/>
    <col min="9995" max="10241" width="9.21875" style="37"/>
    <col min="10242" max="10242" width="24.44140625" style="37" customWidth="1"/>
    <col min="10243" max="10248" width="17.77734375" style="37" customWidth="1"/>
    <col min="10249" max="10249" width="11.77734375" style="37" customWidth="1"/>
    <col min="10250" max="10250" width="8.44140625" style="37" customWidth="1"/>
    <col min="10251" max="10497" width="9.21875" style="37"/>
    <col min="10498" max="10498" width="24.44140625" style="37" customWidth="1"/>
    <col min="10499" max="10504" width="17.77734375" style="37" customWidth="1"/>
    <col min="10505" max="10505" width="11.77734375" style="37" customWidth="1"/>
    <col min="10506" max="10506" width="8.44140625" style="37" customWidth="1"/>
    <col min="10507" max="10753" width="9.21875" style="37"/>
    <col min="10754" max="10754" width="24.44140625" style="37" customWidth="1"/>
    <col min="10755" max="10760" width="17.77734375" style="37" customWidth="1"/>
    <col min="10761" max="10761" width="11.77734375" style="37" customWidth="1"/>
    <col min="10762" max="10762" width="8.44140625" style="37" customWidth="1"/>
    <col min="10763" max="11009" width="9.21875" style="37"/>
    <col min="11010" max="11010" width="24.44140625" style="37" customWidth="1"/>
    <col min="11011" max="11016" width="17.77734375" style="37" customWidth="1"/>
    <col min="11017" max="11017" width="11.77734375" style="37" customWidth="1"/>
    <col min="11018" max="11018" width="8.44140625" style="37" customWidth="1"/>
    <col min="11019" max="11265" width="9.21875" style="37"/>
    <col min="11266" max="11266" width="24.44140625" style="37" customWidth="1"/>
    <col min="11267" max="11272" width="17.77734375" style="37" customWidth="1"/>
    <col min="11273" max="11273" width="11.77734375" style="37" customWidth="1"/>
    <col min="11274" max="11274" width="8.44140625" style="37" customWidth="1"/>
    <col min="11275" max="11521" width="9.21875" style="37"/>
    <col min="11522" max="11522" width="24.44140625" style="37" customWidth="1"/>
    <col min="11523" max="11528" width="17.77734375" style="37" customWidth="1"/>
    <col min="11529" max="11529" width="11.77734375" style="37" customWidth="1"/>
    <col min="11530" max="11530" width="8.44140625" style="37" customWidth="1"/>
    <col min="11531" max="11777" width="9.21875" style="37"/>
    <col min="11778" max="11778" width="24.44140625" style="37" customWidth="1"/>
    <col min="11779" max="11784" width="17.77734375" style="37" customWidth="1"/>
    <col min="11785" max="11785" width="11.77734375" style="37" customWidth="1"/>
    <col min="11786" max="11786" width="8.44140625" style="37" customWidth="1"/>
    <col min="11787" max="12033" width="9.21875" style="37"/>
    <col min="12034" max="12034" width="24.44140625" style="37" customWidth="1"/>
    <col min="12035" max="12040" width="17.77734375" style="37" customWidth="1"/>
    <col min="12041" max="12041" width="11.77734375" style="37" customWidth="1"/>
    <col min="12042" max="12042" width="8.44140625" style="37" customWidth="1"/>
    <col min="12043" max="12289" width="9.21875" style="37"/>
    <col min="12290" max="12290" width="24.44140625" style="37" customWidth="1"/>
    <col min="12291" max="12296" width="17.77734375" style="37" customWidth="1"/>
    <col min="12297" max="12297" width="11.77734375" style="37" customWidth="1"/>
    <col min="12298" max="12298" width="8.44140625" style="37" customWidth="1"/>
    <col min="12299" max="12545" width="9.21875" style="37"/>
    <col min="12546" max="12546" width="24.44140625" style="37" customWidth="1"/>
    <col min="12547" max="12552" width="17.77734375" style="37" customWidth="1"/>
    <col min="12553" max="12553" width="11.77734375" style="37" customWidth="1"/>
    <col min="12554" max="12554" width="8.44140625" style="37" customWidth="1"/>
    <col min="12555" max="12801" width="9.21875" style="37"/>
    <col min="12802" max="12802" width="24.44140625" style="37" customWidth="1"/>
    <col min="12803" max="12808" width="17.77734375" style="37" customWidth="1"/>
    <col min="12809" max="12809" width="11.77734375" style="37" customWidth="1"/>
    <col min="12810" max="12810" width="8.44140625" style="37" customWidth="1"/>
    <col min="12811" max="13057" width="9.21875" style="37"/>
    <col min="13058" max="13058" width="24.44140625" style="37" customWidth="1"/>
    <col min="13059" max="13064" width="17.77734375" style="37" customWidth="1"/>
    <col min="13065" max="13065" width="11.77734375" style="37" customWidth="1"/>
    <col min="13066" max="13066" width="8.44140625" style="37" customWidth="1"/>
    <col min="13067" max="13313" width="9.21875" style="37"/>
    <col min="13314" max="13314" width="24.44140625" style="37" customWidth="1"/>
    <col min="13315" max="13320" width="17.77734375" style="37" customWidth="1"/>
    <col min="13321" max="13321" width="11.77734375" style="37" customWidth="1"/>
    <col min="13322" max="13322" width="8.44140625" style="37" customWidth="1"/>
    <col min="13323" max="13569" width="9.21875" style="37"/>
    <col min="13570" max="13570" width="24.44140625" style="37" customWidth="1"/>
    <col min="13571" max="13576" width="17.77734375" style="37" customWidth="1"/>
    <col min="13577" max="13577" width="11.77734375" style="37" customWidth="1"/>
    <col min="13578" max="13578" width="8.44140625" style="37" customWidth="1"/>
    <col min="13579" max="13825" width="9.21875" style="37"/>
    <col min="13826" max="13826" width="24.44140625" style="37" customWidth="1"/>
    <col min="13827" max="13832" width="17.77734375" style="37" customWidth="1"/>
    <col min="13833" max="13833" width="11.77734375" style="37" customWidth="1"/>
    <col min="13834" max="13834" width="8.44140625" style="37" customWidth="1"/>
    <col min="13835" max="14081" width="9.21875" style="37"/>
    <col min="14082" max="14082" width="24.44140625" style="37" customWidth="1"/>
    <col min="14083" max="14088" width="17.77734375" style="37" customWidth="1"/>
    <col min="14089" max="14089" width="11.77734375" style="37" customWidth="1"/>
    <col min="14090" max="14090" width="8.44140625" style="37" customWidth="1"/>
    <col min="14091" max="14337" width="9.21875" style="37"/>
    <col min="14338" max="14338" width="24.44140625" style="37" customWidth="1"/>
    <col min="14339" max="14344" width="17.77734375" style="37" customWidth="1"/>
    <col min="14345" max="14345" width="11.77734375" style="37" customWidth="1"/>
    <col min="14346" max="14346" width="8.44140625" style="37" customWidth="1"/>
    <col min="14347" max="14593" width="9.21875" style="37"/>
    <col min="14594" max="14594" width="24.44140625" style="37" customWidth="1"/>
    <col min="14595" max="14600" width="17.77734375" style="37" customWidth="1"/>
    <col min="14601" max="14601" width="11.77734375" style="37" customWidth="1"/>
    <col min="14602" max="14602" width="8.44140625" style="37" customWidth="1"/>
    <col min="14603" max="14849" width="9.21875" style="37"/>
    <col min="14850" max="14850" width="24.44140625" style="37" customWidth="1"/>
    <col min="14851" max="14856" width="17.77734375" style="37" customWidth="1"/>
    <col min="14857" max="14857" width="11.77734375" style="37" customWidth="1"/>
    <col min="14858" max="14858" width="8.44140625" style="37" customWidth="1"/>
    <col min="14859" max="15105" width="9.21875" style="37"/>
    <col min="15106" max="15106" width="24.44140625" style="37" customWidth="1"/>
    <col min="15107" max="15112" width="17.77734375" style="37" customWidth="1"/>
    <col min="15113" max="15113" width="11.77734375" style="37" customWidth="1"/>
    <col min="15114" max="15114" width="8.44140625" style="37" customWidth="1"/>
    <col min="15115" max="15361" width="9.21875" style="37"/>
    <col min="15362" max="15362" width="24.44140625" style="37" customWidth="1"/>
    <col min="15363" max="15368" width="17.77734375" style="37" customWidth="1"/>
    <col min="15369" max="15369" width="11.77734375" style="37" customWidth="1"/>
    <col min="15370" max="15370" width="8.44140625" style="37" customWidth="1"/>
    <col min="15371" max="15617" width="9.21875" style="37"/>
    <col min="15618" max="15618" width="24.44140625" style="37" customWidth="1"/>
    <col min="15619" max="15624" width="17.77734375" style="37" customWidth="1"/>
    <col min="15625" max="15625" width="11.77734375" style="37" customWidth="1"/>
    <col min="15626" max="15626" width="8.44140625" style="37" customWidth="1"/>
    <col min="15627" max="15873" width="9.21875" style="37"/>
    <col min="15874" max="15874" width="24.44140625" style="37" customWidth="1"/>
    <col min="15875" max="15880" width="17.77734375" style="37" customWidth="1"/>
    <col min="15881" max="15881" width="11.77734375" style="37" customWidth="1"/>
    <col min="15882" max="15882" width="8.44140625" style="37" customWidth="1"/>
    <col min="15883" max="16129" width="9.21875" style="37"/>
    <col min="16130" max="16130" width="24.44140625" style="37" customWidth="1"/>
    <col min="16131" max="16136" width="17.77734375" style="37" customWidth="1"/>
    <col min="16137" max="16137" width="11.77734375" style="37" customWidth="1"/>
    <col min="16138" max="16138" width="8.44140625" style="37" customWidth="1"/>
    <col min="16139" max="16384" width="9.21875" style="37"/>
  </cols>
  <sheetData>
    <row r="2" spans="2:8" ht="15.6" x14ac:dyDescent="0.3">
      <c r="B2" s="36" t="s">
        <v>57</v>
      </c>
    </row>
    <row r="3" spans="2:8" ht="14.4" x14ac:dyDescent="0.3">
      <c r="B3" t="s">
        <v>58</v>
      </c>
      <c r="C3" s="38"/>
    </row>
    <row r="4" spans="2:8" ht="12" thickBot="1" x14ac:dyDescent="0.25"/>
    <row r="5" spans="2:8" ht="24.6" thickBot="1" x14ac:dyDescent="0.3">
      <c r="B5" s="39" t="s">
        <v>59</v>
      </c>
      <c r="C5" s="40" t="s">
        <v>60</v>
      </c>
      <c r="D5" s="40" t="s">
        <v>61</v>
      </c>
      <c r="E5" s="41" t="s">
        <v>62</v>
      </c>
      <c r="F5" s="42" t="s">
        <v>63</v>
      </c>
    </row>
    <row r="6" spans="2:8" x14ac:dyDescent="0.2">
      <c r="B6" s="43">
        <v>2000</v>
      </c>
      <c r="C6" s="44">
        <v>78.073250000000002</v>
      </c>
      <c r="D6" s="45"/>
      <c r="E6" s="46">
        <f>$C$26/C6</f>
        <v>1.451974054280222</v>
      </c>
      <c r="F6" s="47">
        <f>$C$24/C6</f>
        <v>1.4126701527091545</v>
      </c>
      <c r="H6" s="37" t="s">
        <v>64</v>
      </c>
    </row>
    <row r="7" spans="2:8" x14ac:dyDescent="0.2">
      <c r="B7" s="48">
        <v>2001</v>
      </c>
      <c r="C7" s="49">
        <v>79.789749999999998</v>
      </c>
      <c r="D7" s="50">
        <f>C7/C6-1</f>
        <v>2.1985763369656075E-2</v>
      </c>
      <c r="E7" s="51">
        <f t="shared" ref="E7:E56" si="0">$C$26/C7</f>
        <v>1.420738043838129</v>
      </c>
      <c r="F7" s="52">
        <f t="shared" ref="F7:F56" si="1">$C$24/C7</f>
        <v>1.3822796787807958</v>
      </c>
      <c r="H7" s="53">
        <f>AVERAGE(D7:D25)</f>
        <v>1.9319359372911994E-2</v>
      </c>
    </row>
    <row r="8" spans="2:8" x14ac:dyDescent="0.2">
      <c r="B8" s="48">
        <v>2002</v>
      </c>
      <c r="C8" s="49">
        <v>81.0505</v>
      </c>
      <c r="D8" s="50">
        <f t="shared" ref="D8:D56" si="2">C8/C7-1</f>
        <v>1.5800901744898344E-2</v>
      </c>
      <c r="E8" s="51">
        <f t="shared" si="0"/>
        <v>1.3986382975223268</v>
      </c>
      <c r="F8" s="52">
        <f t="shared" si="1"/>
        <v>1.3607781568281505</v>
      </c>
    </row>
    <row r="9" spans="2:8" x14ac:dyDescent="0.2">
      <c r="B9" s="48">
        <v>2003</v>
      </c>
      <c r="C9" s="49">
        <v>82.550999999999988</v>
      </c>
      <c r="D9" s="50">
        <f t="shared" si="2"/>
        <v>1.8513149209443247E-2</v>
      </c>
      <c r="E9" s="51">
        <f t="shared" si="0"/>
        <v>1.3732157494558923</v>
      </c>
      <c r="F9" s="52">
        <f t="shared" si="1"/>
        <v>1.3360437789972262</v>
      </c>
      <c r="H9" s="37" t="s">
        <v>65</v>
      </c>
    </row>
    <row r="10" spans="2:8" x14ac:dyDescent="0.2">
      <c r="B10" s="48">
        <v>2004</v>
      </c>
      <c r="C10" s="49">
        <v>84.772999999999996</v>
      </c>
      <c r="D10" s="50">
        <f t="shared" si="2"/>
        <v>2.6916693922544921E-2</v>
      </c>
      <c r="E10" s="51">
        <f t="shared" si="0"/>
        <v>1.3372221501342803</v>
      </c>
      <c r="F10" s="52">
        <f t="shared" si="1"/>
        <v>1.301024500725467</v>
      </c>
      <c r="H10" s="54">
        <v>2.1999999999999999E-2</v>
      </c>
    </row>
    <row r="11" spans="2:8" x14ac:dyDescent="0.2">
      <c r="B11" s="48">
        <v>2005</v>
      </c>
      <c r="C11" s="49">
        <v>87.414749999999998</v>
      </c>
      <c r="D11" s="50">
        <f t="shared" si="2"/>
        <v>3.1162634329326533E-2</v>
      </c>
      <c r="E11" s="51">
        <f t="shared" si="0"/>
        <v>1.2968101302507111</v>
      </c>
      <c r="F11" s="52">
        <f t="shared" si="1"/>
        <v>1.261706405383531</v>
      </c>
    </row>
    <row r="12" spans="2:8" x14ac:dyDescent="0.2">
      <c r="B12" s="48">
        <v>2006</v>
      </c>
      <c r="C12" s="49">
        <v>90.063749999999999</v>
      </c>
      <c r="D12" s="50">
        <f t="shared" si="2"/>
        <v>3.0303810283733634E-2</v>
      </c>
      <c r="E12" s="51">
        <f t="shared" si="0"/>
        <v>1.2586677029696558</v>
      </c>
      <c r="F12" s="52">
        <f t="shared" si="1"/>
        <v>1.2245964663918614</v>
      </c>
    </row>
    <row r="13" spans="2:8" x14ac:dyDescent="0.2">
      <c r="B13" s="48">
        <v>2007</v>
      </c>
      <c r="C13" s="49">
        <v>92.482500000000002</v>
      </c>
      <c r="D13" s="50">
        <f t="shared" si="2"/>
        <v>2.6855977016280175E-2</v>
      </c>
      <c r="E13" s="51">
        <f t="shared" si="0"/>
        <v>1.2257490155795241</v>
      </c>
      <c r="F13" s="52">
        <f t="shared" si="1"/>
        <v>1.1925688643797476</v>
      </c>
    </row>
    <row r="14" spans="2:8" x14ac:dyDescent="0.2">
      <c r="B14" s="48">
        <v>2008</v>
      </c>
      <c r="C14" s="49">
        <v>94.288749999999993</v>
      </c>
      <c r="D14" s="50">
        <f t="shared" si="2"/>
        <v>1.9530722028491709E-2</v>
      </c>
      <c r="E14" s="51">
        <f t="shared" si="0"/>
        <v>1.2022678562748297</v>
      </c>
      <c r="F14" s="52">
        <f t="shared" si="1"/>
        <v>1.1697233233020907</v>
      </c>
    </row>
    <row r="15" spans="2:8" ht="12" thickBot="1" x14ac:dyDescent="0.25">
      <c r="B15" s="55">
        <v>2009</v>
      </c>
      <c r="C15" s="56">
        <v>95.002750000000006</v>
      </c>
      <c r="D15" s="57">
        <f t="shared" si="2"/>
        <v>7.5724834617068026E-3</v>
      </c>
      <c r="E15" s="58">
        <f t="shared" si="0"/>
        <v>1.1932321257367111</v>
      </c>
      <c r="F15" s="59">
        <f t="shared" si="1"/>
        <v>1.1609321835420554</v>
      </c>
    </row>
    <row r="16" spans="2:8" x14ac:dyDescent="0.2">
      <c r="B16" s="48">
        <v>2010</v>
      </c>
      <c r="C16" s="49">
        <v>96.106750000000005</v>
      </c>
      <c r="D16" s="50">
        <f t="shared" si="2"/>
        <v>1.1620716242424445E-2</v>
      </c>
      <c r="E16" s="51">
        <f t="shared" si="0"/>
        <v>1.1795251981087003</v>
      </c>
      <c r="F16" s="46">
        <f t="shared" si="1"/>
        <v>1.147596292664147</v>
      </c>
    </row>
    <row r="17" spans="2:7" x14ac:dyDescent="0.2">
      <c r="B17" s="48">
        <v>2011</v>
      </c>
      <c r="C17" s="49">
        <v>98.115250000000003</v>
      </c>
      <c r="D17" s="50">
        <f>C17/C16-1</f>
        <v>2.0898636151987171E-2</v>
      </c>
      <c r="E17" s="51">
        <f t="shared" si="0"/>
        <v>1.1553793455485599</v>
      </c>
      <c r="F17" s="51">
        <f t="shared" si="1"/>
        <v>1.124104051103167</v>
      </c>
    </row>
    <row r="18" spans="2:7" x14ac:dyDescent="0.2">
      <c r="B18" s="48">
        <v>2012</v>
      </c>
      <c r="C18" s="49">
        <v>99.998750000000001</v>
      </c>
      <c r="D18" s="50">
        <f t="shared" si="2"/>
        <v>1.9196811912521206E-2</v>
      </c>
      <c r="E18" s="51">
        <f t="shared" si="0"/>
        <v>1.1336175035521279</v>
      </c>
      <c r="F18" s="51">
        <f t="shared" si="1"/>
        <v>1.102931286641083</v>
      </c>
    </row>
    <row r="19" spans="2:7" x14ac:dyDescent="0.2">
      <c r="B19" s="48">
        <v>2013</v>
      </c>
      <c r="C19" s="49">
        <v>101.75125</v>
      </c>
      <c r="D19" s="50">
        <f t="shared" si="2"/>
        <v>1.7525219065238185E-2</v>
      </c>
      <c r="E19" s="51">
        <f t="shared" si="0"/>
        <v>1.1140927834629388</v>
      </c>
      <c r="F19" s="51">
        <f t="shared" si="1"/>
        <v>1.0839350867925457</v>
      </c>
    </row>
    <row r="20" spans="2:7" x14ac:dyDescent="0.2">
      <c r="B20" s="48">
        <v>2014</v>
      </c>
      <c r="C20" s="49">
        <v>103.63225</v>
      </c>
      <c r="D20" s="50">
        <f t="shared" si="2"/>
        <v>1.8486259382562764E-2</v>
      </c>
      <c r="E20" s="51">
        <f t="shared" si="0"/>
        <v>1.0938711967880013</v>
      </c>
      <c r="F20" s="51">
        <f t="shared" si="1"/>
        <v>1.0642608840394763</v>
      </c>
    </row>
    <row r="21" spans="2:7" x14ac:dyDescent="0.2">
      <c r="B21" s="48">
        <v>2015</v>
      </c>
      <c r="C21" s="49">
        <v>104.6225</v>
      </c>
      <c r="D21" s="50">
        <f t="shared" si="2"/>
        <v>9.5554231428922609E-3</v>
      </c>
      <c r="E21" s="51">
        <f t="shared" si="0"/>
        <v>1.0835177264291462</v>
      </c>
      <c r="F21" s="51">
        <f t="shared" si="1"/>
        <v>1.054187674735358</v>
      </c>
    </row>
    <row r="22" spans="2:7" x14ac:dyDescent="0.2">
      <c r="B22" s="48">
        <v>2016</v>
      </c>
      <c r="C22" s="49">
        <v>105.71899999999999</v>
      </c>
      <c r="D22" s="50">
        <f t="shared" si="2"/>
        <v>1.0480537169346826E-2</v>
      </c>
      <c r="E22" s="51">
        <f t="shared" si="0"/>
        <v>1.0722796596007658</v>
      </c>
      <c r="F22" s="51">
        <f t="shared" si="1"/>
        <v>1.0432538143569274</v>
      </c>
    </row>
    <row r="23" spans="2:7" x14ac:dyDescent="0.2">
      <c r="B23" s="48">
        <v>2017</v>
      </c>
      <c r="C23" s="49">
        <v>107.70500000000001</v>
      </c>
      <c r="D23" s="50">
        <f t="shared" si="2"/>
        <v>1.8785648748096628E-2</v>
      </c>
      <c r="E23" s="51">
        <f t="shared" si="0"/>
        <v>1.0525076211256055</v>
      </c>
      <c r="F23" s="51">
        <f t="shared" si="1"/>
        <v>1.0240169908546493</v>
      </c>
    </row>
    <row r="24" spans="2:7" x14ac:dyDescent="0.2">
      <c r="B24" s="48">
        <v>2018</v>
      </c>
      <c r="C24" s="49">
        <v>110.29175000000001</v>
      </c>
      <c r="D24" s="50">
        <f t="shared" si="2"/>
        <v>2.4016990854649256E-2</v>
      </c>
      <c r="E24" s="51">
        <f>$C$26/C24</f>
        <v>1.0278224194768271</v>
      </c>
      <c r="F24" s="51">
        <f t="shared" si="1"/>
        <v>1</v>
      </c>
    </row>
    <row r="25" spans="2:7" x14ac:dyDescent="0.2">
      <c r="B25" s="48">
        <v>2019</v>
      </c>
      <c r="C25" s="49">
        <v>112.2615</v>
      </c>
      <c r="D25" s="50">
        <f t="shared" si="2"/>
        <v>1.7859450049527714E-2</v>
      </c>
      <c r="E25" s="51">
        <f t="shared" si="0"/>
        <v>1.0097881583030099</v>
      </c>
      <c r="F25" s="51">
        <f t="shared" si="1"/>
        <v>0.98245391340753518</v>
      </c>
      <c r="G25" s="60"/>
    </row>
    <row r="26" spans="2:7" ht="12.6" thickBot="1" x14ac:dyDescent="0.3">
      <c r="B26" s="61">
        <v>2020</v>
      </c>
      <c r="C26" s="62">
        <v>113.36033333333334</v>
      </c>
      <c r="D26" s="63">
        <f>C26/C25-1</f>
        <v>9.7881583030099417E-3</v>
      </c>
      <c r="E26" s="64">
        <f t="shared" si="0"/>
        <v>1</v>
      </c>
      <c r="F26" s="64">
        <f t="shared" si="1"/>
        <v>0.9729307135652977</v>
      </c>
      <c r="G26" s="60" t="s">
        <v>66</v>
      </c>
    </row>
    <row r="27" spans="2:7" x14ac:dyDescent="0.2">
      <c r="B27" s="43">
        <v>2021</v>
      </c>
      <c r="C27" s="44">
        <f>(1+$H$10)*C26</f>
        <v>115.85426066666668</v>
      </c>
      <c r="D27" s="45">
        <f t="shared" si="2"/>
        <v>2.200000000000002E-2</v>
      </c>
      <c r="E27" s="46">
        <f t="shared" si="0"/>
        <v>0.9784735812133073</v>
      </c>
      <c r="F27" s="47">
        <f t="shared" si="1"/>
        <v>0.95198699957465527</v>
      </c>
    </row>
    <row r="28" spans="2:7" x14ac:dyDescent="0.2">
      <c r="B28" s="48">
        <v>2022</v>
      </c>
      <c r="C28" s="49">
        <f t="shared" ref="C28:C56" si="3">(1+$H$10)*C27</f>
        <v>118.40305440133335</v>
      </c>
      <c r="D28" s="50">
        <f t="shared" si="2"/>
        <v>2.200000000000002E-2</v>
      </c>
      <c r="E28" s="51">
        <f t="shared" si="0"/>
        <v>0.95741054913239454</v>
      </c>
      <c r="F28" s="52">
        <f t="shared" si="1"/>
        <v>0.93149412874232407</v>
      </c>
    </row>
    <row r="29" spans="2:7" x14ac:dyDescent="0.2">
      <c r="B29" s="48">
        <v>2023</v>
      </c>
      <c r="C29" s="49">
        <f t="shared" si="3"/>
        <v>121.00792159816268</v>
      </c>
      <c r="D29" s="50">
        <f t="shared" si="2"/>
        <v>2.200000000000002E-2</v>
      </c>
      <c r="E29" s="51">
        <f t="shared" si="0"/>
        <v>0.93680092870097309</v>
      </c>
      <c r="F29" s="52">
        <f t="shared" si="1"/>
        <v>0.91144239602967136</v>
      </c>
    </row>
    <row r="30" spans="2:7" x14ac:dyDescent="0.2">
      <c r="B30" s="48">
        <v>2024</v>
      </c>
      <c r="C30" s="49">
        <f t="shared" si="3"/>
        <v>123.67009587332227</v>
      </c>
      <c r="D30" s="50">
        <f t="shared" si="2"/>
        <v>2.200000000000002E-2</v>
      </c>
      <c r="E30" s="51">
        <f t="shared" si="0"/>
        <v>0.91663495958999319</v>
      </c>
      <c r="F30" s="52">
        <f t="shared" si="1"/>
        <v>0.89182230531278983</v>
      </c>
    </row>
    <row r="31" spans="2:7" x14ac:dyDescent="0.2">
      <c r="B31" s="48">
        <v>2025</v>
      </c>
      <c r="C31" s="49">
        <f t="shared" si="3"/>
        <v>126.39083798253536</v>
      </c>
      <c r="D31" s="50">
        <f t="shared" si="2"/>
        <v>2.200000000000002E-2</v>
      </c>
      <c r="E31" s="51">
        <f t="shared" si="0"/>
        <v>0.89690309157533576</v>
      </c>
      <c r="F31" s="52">
        <f t="shared" si="1"/>
        <v>0.87262456488531304</v>
      </c>
    </row>
    <row r="32" spans="2:7" x14ac:dyDescent="0.2">
      <c r="B32" s="48">
        <v>2026</v>
      </c>
      <c r="C32" s="49">
        <f t="shared" si="3"/>
        <v>129.17143641815113</v>
      </c>
      <c r="D32" s="50">
        <f t="shared" si="2"/>
        <v>2.200000000000002E-2</v>
      </c>
      <c r="E32" s="51">
        <f t="shared" si="0"/>
        <v>0.87759598001500572</v>
      </c>
      <c r="F32" s="52">
        <f t="shared" si="1"/>
        <v>0.85384008305803627</v>
      </c>
    </row>
    <row r="33" spans="2:6" x14ac:dyDescent="0.2">
      <c r="B33" s="48">
        <v>2027</v>
      </c>
      <c r="C33" s="49">
        <f t="shared" si="3"/>
        <v>132.01320801935046</v>
      </c>
      <c r="D33" s="50">
        <f t="shared" si="2"/>
        <v>2.200000000000002E-2</v>
      </c>
      <c r="E33" s="51">
        <f t="shared" si="0"/>
        <v>0.85870448142368461</v>
      </c>
      <c r="F33" s="52">
        <f t="shared" si="1"/>
        <v>0.83545996385326438</v>
      </c>
    </row>
    <row r="34" spans="2:6" x14ac:dyDescent="0.2">
      <c r="B34" s="48">
        <v>2028</v>
      </c>
      <c r="C34" s="49">
        <f t="shared" si="3"/>
        <v>134.91749859577618</v>
      </c>
      <c r="D34" s="50">
        <f t="shared" si="2"/>
        <v>2.200000000000002E-2</v>
      </c>
      <c r="E34" s="51">
        <f t="shared" si="0"/>
        <v>0.84021964914254854</v>
      </c>
      <c r="F34" s="52">
        <f t="shared" si="1"/>
        <v>0.81747550279184378</v>
      </c>
    </row>
    <row r="35" spans="2:6" ht="12" thickBot="1" x14ac:dyDescent="0.25">
      <c r="B35" s="55">
        <v>2029</v>
      </c>
      <c r="C35" s="56">
        <f t="shared" si="3"/>
        <v>137.88568356488327</v>
      </c>
      <c r="D35" s="57">
        <f t="shared" si="2"/>
        <v>2.200000000000002E-2</v>
      </c>
      <c r="E35" s="58">
        <f t="shared" si="0"/>
        <v>0.82213272910229795</v>
      </c>
      <c r="F35" s="59">
        <f t="shared" si="1"/>
        <v>0.79987818277088429</v>
      </c>
    </row>
    <row r="36" spans="2:6" x14ac:dyDescent="0.2">
      <c r="B36" s="43">
        <v>2030</v>
      </c>
      <c r="C36" s="44">
        <f t="shared" si="3"/>
        <v>140.91916860331071</v>
      </c>
      <c r="D36" s="45">
        <f t="shared" si="2"/>
        <v>2.200000000000002E-2</v>
      </c>
      <c r="E36" s="46">
        <f t="shared" si="0"/>
        <v>0.8044351556773951</v>
      </c>
      <c r="F36" s="47">
        <f t="shared" si="1"/>
        <v>0.78265967003021941</v>
      </c>
    </row>
    <row r="37" spans="2:6" x14ac:dyDescent="0.2">
      <c r="B37" s="48">
        <v>2031</v>
      </c>
      <c r="C37" s="49">
        <f t="shared" si="3"/>
        <v>144.01939031258354</v>
      </c>
      <c r="D37" s="50">
        <f t="shared" si="2"/>
        <v>2.200000000000002E-2</v>
      </c>
      <c r="E37" s="51">
        <f t="shared" si="0"/>
        <v>0.78711854762954514</v>
      </c>
      <c r="F37" s="52">
        <f t="shared" si="1"/>
        <v>0.76581181020569411</v>
      </c>
    </row>
    <row r="38" spans="2:6" x14ac:dyDescent="0.2">
      <c r="B38" s="48">
        <v>2032</v>
      </c>
      <c r="C38" s="49">
        <f t="shared" si="3"/>
        <v>147.18781689946039</v>
      </c>
      <c r="D38" s="50">
        <f t="shared" si="2"/>
        <v>2.200000000000002E-2</v>
      </c>
      <c r="E38" s="51">
        <f t="shared" si="0"/>
        <v>0.7701747041384982</v>
      </c>
      <c r="F38" s="52">
        <f t="shared" si="1"/>
        <v>0.74932662446741105</v>
      </c>
    </row>
    <row r="39" spans="2:6" x14ac:dyDescent="0.2">
      <c r="B39" s="48">
        <v>2033</v>
      </c>
      <c r="C39" s="49">
        <f t="shared" si="3"/>
        <v>150.42594887124852</v>
      </c>
      <c r="D39" s="50">
        <f>C39/C38-1</f>
        <v>2.200000000000002E-2</v>
      </c>
      <c r="E39" s="51">
        <f t="shared" si="0"/>
        <v>0.75359560091829558</v>
      </c>
      <c r="F39" s="52">
        <f t="shared" si="1"/>
        <v>0.73319630574110661</v>
      </c>
    </row>
    <row r="40" spans="2:6" x14ac:dyDescent="0.2">
      <c r="B40" s="48">
        <v>2034</v>
      </c>
      <c r="C40" s="49">
        <f t="shared" si="3"/>
        <v>153.735319746416</v>
      </c>
      <c r="D40" s="50">
        <f t="shared" si="2"/>
        <v>2.200000000000002E-2</v>
      </c>
      <c r="E40" s="51">
        <f t="shared" si="0"/>
        <v>0.73737338641711903</v>
      </c>
      <c r="F40" s="52">
        <f t="shared" si="1"/>
        <v>0.71741321501086752</v>
      </c>
    </row>
    <row r="41" spans="2:6" x14ac:dyDescent="0.2">
      <c r="B41" s="48">
        <v>2035</v>
      </c>
      <c r="C41" s="49">
        <f t="shared" si="3"/>
        <v>157.11749678083714</v>
      </c>
      <c r="D41" s="50">
        <f t="shared" si="2"/>
        <v>2.200000000000002E-2</v>
      </c>
      <c r="E41" s="51">
        <f t="shared" si="0"/>
        <v>0.7215003780989423</v>
      </c>
      <c r="F41" s="52">
        <f t="shared" si="1"/>
        <v>0.70196987770143593</v>
      </c>
    </row>
    <row r="42" spans="2:6" x14ac:dyDescent="0.2">
      <c r="B42" s="48">
        <v>2036</v>
      </c>
      <c r="C42" s="49">
        <f t="shared" si="3"/>
        <v>160.57408171001558</v>
      </c>
      <c r="D42" s="50">
        <f t="shared" si="2"/>
        <v>2.200000000000002E-2</v>
      </c>
      <c r="E42" s="51">
        <f t="shared" si="0"/>
        <v>0.7059690588052272</v>
      </c>
      <c r="F42" s="52">
        <f t="shared" si="1"/>
        <v>0.68685898013839131</v>
      </c>
    </row>
    <row r="43" spans="2:6" x14ac:dyDescent="0.2">
      <c r="B43" s="48">
        <v>2037</v>
      </c>
      <c r="C43" s="49">
        <f t="shared" si="3"/>
        <v>164.10671150763594</v>
      </c>
      <c r="D43" s="50">
        <f t="shared" si="2"/>
        <v>2.200000000000002E-2</v>
      </c>
      <c r="E43" s="51">
        <f t="shared" si="0"/>
        <v>0.6907720731949385</v>
      </c>
      <c r="F43" s="52">
        <f t="shared" si="1"/>
        <v>0.6720733660845315</v>
      </c>
    </row>
    <row r="44" spans="2:6" x14ac:dyDescent="0.2">
      <c r="B44" s="48">
        <v>2038</v>
      </c>
      <c r="C44" s="49">
        <f t="shared" si="3"/>
        <v>167.71705916080393</v>
      </c>
      <c r="D44" s="50">
        <f t="shared" si="2"/>
        <v>2.200000000000002E-2</v>
      </c>
      <c r="E44" s="51">
        <f t="shared" si="0"/>
        <v>0.67590222426119229</v>
      </c>
      <c r="F44" s="52">
        <f t="shared" si="1"/>
        <v>0.65760603335081358</v>
      </c>
    </row>
    <row r="45" spans="2:6" ht="12" thickBot="1" x14ac:dyDescent="0.25">
      <c r="B45" s="55">
        <v>2039</v>
      </c>
      <c r="C45" s="56">
        <f t="shared" si="3"/>
        <v>171.40683446234161</v>
      </c>
      <c r="D45" s="57">
        <f t="shared" si="2"/>
        <v>2.200000000000002E-2</v>
      </c>
      <c r="E45" s="58">
        <f t="shared" si="0"/>
        <v>0.66135246992288876</v>
      </c>
      <c r="F45" s="59">
        <f t="shared" si="1"/>
        <v>0.64345013048024813</v>
      </c>
    </row>
    <row r="46" spans="2:6" x14ac:dyDescent="0.2">
      <c r="B46" s="43">
        <v>2040</v>
      </c>
      <c r="C46" s="44">
        <f t="shared" si="3"/>
        <v>175.17778482051312</v>
      </c>
      <c r="D46" s="45">
        <f t="shared" si="2"/>
        <v>2.200000000000002E-2</v>
      </c>
      <c r="E46" s="46">
        <f t="shared" si="0"/>
        <v>0.64711591968971494</v>
      </c>
      <c r="F46" s="47">
        <f t="shared" si="1"/>
        <v>0.62959895350317829</v>
      </c>
    </row>
    <row r="47" spans="2:6" x14ac:dyDescent="0.2">
      <c r="B47" s="48">
        <v>2041</v>
      </c>
      <c r="C47" s="49">
        <f t="shared" si="3"/>
        <v>179.03169608656441</v>
      </c>
      <c r="D47" s="50">
        <f t="shared" si="2"/>
        <v>2.200000000000002E-2</v>
      </c>
      <c r="E47" s="51">
        <f t="shared" si="0"/>
        <v>0.63318583139893836</v>
      </c>
      <c r="F47" s="52">
        <f t="shared" si="1"/>
        <v>0.61604594276240532</v>
      </c>
    </row>
    <row r="48" spans="2:6" x14ac:dyDescent="0.2">
      <c r="B48" s="48">
        <v>2042</v>
      </c>
      <c r="C48" s="49">
        <f t="shared" si="3"/>
        <v>182.97039340046882</v>
      </c>
      <c r="D48" s="50">
        <f t="shared" si="2"/>
        <v>2.200000000000002E-2</v>
      </c>
      <c r="E48" s="51">
        <f t="shared" si="0"/>
        <v>0.61955560802244458</v>
      </c>
      <c r="F48" s="52">
        <f t="shared" si="1"/>
        <v>0.60278467980665884</v>
      </c>
    </row>
    <row r="49" spans="2:6" x14ac:dyDescent="0.2">
      <c r="B49" s="48">
        <v>2043</v>
      </c>
      <c r="C49" s="49">
        <f t="shared" si="3"/>
        <v>186.99574205527915</v>
      </c>
      <c r="D49" s="50">
        <f t="shared" si="2"/>
        <v>2.200000000000002E-2</v>
      </c>
      <c r="E49" s="51">
        <f t="shared" si="0"/>
        <v>0.60621879454250938</v>
      </c>
      <c r="F49" s="52">
        <f t="shared" si="1"/>
        <v>0.58980888435093815</v>
      </c>
    </row>
    <row r="50" spans="2:6" x14ac:dyDescent="0.2">
      <c r="B50" s="48">
        <v>2044</v>
      </c>
      <c r="C50" s="49">
        <f t="shared" si="3"/>
        <v>191.10964838049529</v>
      </c>
      <c r="D50" s="50">
        <f t="shared" si="2"/>
        <v>2.200000000000002E-2</v>
      </c>
      <c r="E50" s="51">
        <f t="shared" si="0"/>
        <v>0.59316907489482329</v>
      </c>
      <c r="F50" s="52">
        <f t="shared" si="1"/>
        <v>0.57711241130228785</v>
      </c>
    </row>
    <row r="51" spans="2:6" x14ac:dyDescent="0.2">
      <c r="B51" s="48">
        <v>2045</v>
      </c>
      <c r="C51" s="49">
        <f t="shared" si="3"/>
        <v>195.31406064486617</v>
      </c>
      <c r="D51" s="50">
        <f t="shared" si="2"/>
        <v>2.200000000000002E-2</v>
      </c>
      <c r="E51" s="51">
        <f t="shared" si="0"/>
        <v>0.58040026897732222</v>
      </c>
      <c r="F51" s="52">
        <f t="shared" si="1"/>
        <v>0.56468924784959673</v>
      </c>
    </row>
    <row r="52" spans="2:6" x14ac:dyDescent="0.2">
      <c r="B52" s="48">
        <v>2046</v>
      </c>
      <c r="C52" s="49">
        <f t="shared" si="3"/>
        <v>199.61096997905324</v>
      </c>
      <c r="D52" s="50">
        <f t="shared" si="2"/>
        <v>2.200000000000002E-2</v>
      </c>
      <c r="E52" s="51">
        <f t="shared" si="0"/>
        <v>0.56790632972340716</v>
      </c>
      <c r="F52" s="52">
        <f t="shared" si="1"/>
        <v>0.55253351061604372</v>
      </c>
    </row>
    <row r="53" spans="2:6" x14ac:dyDescent="0.2">
      <c r="B53" s="48">
        <v>2047</v>
      </c>
      <c r="C53" s="49">
        <f t="shared" si="3"/>
        <v>204.00241131859241</v>
      </c>
      <c r="D53" s="50">
        <f t="shared" si="2"/>
        <v>2.200000000000002E-2</v>
      </c>
      <c r="E53" s="51">
        <f t="shared" si="0"/>
        <v>0.55568134023816751</v>
      </c>
      <c r="F53" s="52">
        <f t="shared" si="1"/>
        <v>0.54063944287284127</v>
      </c>
    </row>
    <row r="54" spans="2:6" x14ac:dyDescent="0.2">
      <c r="B54" s="48">
        <v>2048</v>
      </c>
      <c r="C54" s="49">
        <f t="shared" si="3"/>
        <v>208.49046436760145</v>
      </c>
      <c r="D54" s="50">
        <f t="shared" si="2"/>
        <v>2.200000000000002E-2</v>
      </c>
      <c r="E54" s="51">
        <f t="shared" si="0"/>
        <v>0.54371951099625004</v>
      </c>
      <c r="F54" s="52">
        <f t="shared" si="1"/>
        <v>0.52900141181295623</v>
      </c>
    </row>
    <row r="55" spans="2:6" x14ac:dyDescent="0.2">
      <c r="B55" s="48">
        <v>2049</v>
      </c>
      <c r="C55" s="49">
        <f t="shared" si="3"/>
        <v>213.07725458368867</v>
      </c>
      <c r="D55" s="50">
        <f t="shared" si="2"/>
        <v>2.200000000000002E-2</v>
      </c>
      <c r="E55" s="51">
        <f t="shared" si="0"/>
        <v>0.53201517710004897</v>
      </c>
      <c r="F55" s="52">
        <f t="shared" si="1"/>
        <v>0.51761390588351885</v>
      </c>
    </row>
    <row r="56" spans="2:6" ht="12" thickBot="1" x14ac:dyDescent="0.25">
      <c r="B56" s="55">
        <v>2050</v>
      </c>
      <c r="C56" s="56">
        <f t="shared" si="3"/>
        <v>217.76495418452981</v>
      </c>
      <c r="D56" s="57">
        <f t="shared" si="2"/>
        <v>2.200000000000002E-2</v>
      </c>
      <c r="E56" s="58">
        <f t="shared" si="0"/>
        <v>0.52056279559691676</v>
      </c>
      <c r="F56" s="59">
        <f t="shared" si="1"/>
        <v>0.50647153217565444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NREL_levelized</vt:lpstr>
      <vt:lpstr>NREL ATB Storage</vt:lpstr>
      <vt:lpstr>Sheet1</vt:lpstr>
      <vt:lpstr>Deflator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Wilson</dc:creator>
  <cp:lastModifiedBy>Joe Childers</cp:lastModifiedBy>
  <dcterms:created xsi:type="dcterms:W3CDTF">2021-02-16T17:29:05Z</dcterms:created>
  <dcterms:modified xsi:type="dcterms:W3CDTF">2021-06-08T21:17:18Z</dcterms:modified>
</cp:coreProperties>
</file>