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MONARCH-SERVER\Company\data\1933\PSC Filing\"/>
    </mc:Choice>
  </mc:AlternateContent>
  <xr:revisionPtr revIDLastSave="0" documentId="13_ncr:1_{1A1A44D7-4F38-48B6-B7C7-008EF895885B}" xr6:coauthVersionLast="46" xr6:coauthVersionMax="46" xr10:uidLastSave="{00000000-0000-0000-0000-000000000000}"/>
  <bookViews>
    <workbookView xWindow="-120" yWindow="-120" windowWidth="29040" windowHeight="17640" activeTab="2" xr2:uid="{00000000-000D-0000-FFFF-FFFF00000000}"/>
  </bookViews>
  <sheets>
    <sheet name="DSCR current" sheetId="2" r:id="rId1"/>
    <sheet name="DSCR proposed" sheetId="4" r:id="rId2"/>
    <sheet name="Amort schedules" sheetId="3" r:id="rId3"/>
    <sheet name="audited TB" sheetId="5" r:id="rId4"/>
  </sheets>
  <definedNames>
    <definedName name="_xlnm.Print_Titles" localSheetId="2">'Amort schedules'!$A:$A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4" i="2" l="1"/>
  <c r="C11" i="4"/>
  <c r="E40" i="5"/>
  <c r="E39" i="5"/>
  <c r="E38" i="5"/>
  <c r="E37" i="5"/>
  <c r="E36" i="5"/>
  <c r="C10" i="2"/>
  <c r="G13" i="4"/>
  <c r="E13" i="4"/>
  <c r="C13" i="4"/>
  <c r="G12" i="2"/>
  <c r="E12" i="2"/>
  <c r="AB15" i="3"/>
  <c r="AB14" i="3"/>
  <c r="AB13" i="3"/>
  <c r="AB12" i="3"/>
  <c r="AB11" i="3"/>
  <c r="AB10" i="3"/>
  <c r="AB9" i="3"/>
  <c r="AB8" i="3"/>
  <c r="AB7" i="3"/>
  <c r="T8" i="3"/>
  <c r="T9" i="3" s="1"/>
  <c r="S8" i="3"/>
  <c r="O7" i="3"/>
  <c r="N7" i="3" s="1"/>
  <c r="P7" i="3" s="1"/>
  <c r="J7" i="3"/>
  <c r="L7" i="3" s="1"/>
  <c r="K8" i="3" s="1"/>
  <c r="J8" i="3" s="1"/>
  <c r="L8" i="3" s="1"/>
  <c r="K9" i="3" s="1"/>
  <c r="J9" i="3" s="1"/>
  <c r="K7" i="3"/>
  <c r="G7" i="3"/>
  <c r="F7" i="3" s="1"/>
  <c r="H7" i="3" s="1"/>
  <c r="G8" i="3" s="1"/>
  <c r="F8" i="3" s="1"/>
  <c r="H8" i="3" s="1"/>
  <c r="C7" i="3"/>
  <c r="B7" i="3" s="1"/>
  <c r="D7" i="3" s="1"/>
  <c r="V13" i="3"/>
  <c r="X13" i="3" s="1"/>
  <c r="W13" i="3"/>
  <c r="Z7" i="3" l="1"/>
  <c r="C8" i="3"/>
  <c r="B8" i="3" s="1"/>
  <c r="D8" i="3" s="1"/>
  <c r="S9" i="3"/>
  <c r="O8" i="3"/>
  <c r="N8" i="3" s="1"/>
  <c r="P8" i="3" s="1"/>
  <c r="G9" i="3"/>
  <c r="F9" i="3" s="1"/>
  <c r="H9" i="3" s="1"/>
  <c r="L9" i="3"/>
  <c r="K10" i="3" s="1"/>
  <c r="J10" i="3" s="1"/>
  <c r="Z8" i="3" l="1"/>
  <c r="O9" i="3"/>
  <c r="N9" i="3" s="1"/>
  <c r="P9" i="3" s="1"/>
  <c r="G10" i="3"/>
  <c r="F10" i="3" s="1"/>
  <c r="H10" i="3" s="1"/>
  <c r="G11" i="3" s="1"/>
  <c r="F11" i="3" s="1"/>
  <c r="H11" i="3" s="1"/>
  <c r="G12" i="3" s="1"/>
  <c r="F12" i="3" s="1"/>
  <c r="H12" i="3" s="1"/>
  <c r="G13" i="3" s="1"/>
  <c r="F13" i="3" s="1"/>
  <c r="H13" i="3" s="1"/>
  <c r="C9" i="3"/>
  <c r="L10" i="3"/>
  <c r="K11" i="3" s="1"/>
  <c r="J11" i="3" s="1"/>
  <c r="O10" i="3" l="1"/>
  <c r="N10" i="3" s="1"/>
  <c r="P10" i="3"/>
  <c r="B9" i="3"/>
  <c r="D9" i="3" s="1"/>
  <c r="G14" i="3"/>
  <c r="F14" i="3" s="1"/>
  <c r="H14" i="3" s="1"/>
  <c r="Z9" i="3" l="1"/>
  <c r="G15" i="3"/>
  <c r="F15" i="3" s="1"/>
  <c r="H15" i="3" s="1"/>
  <c r="G16" i="3" l="1"/>
  <c r="F16" i="3" s="1"/>
  <c r="H16" i="3" s="1"/>
  <c r="G17" i="3" l="1"/>
  <c r="F17" i="3" s="1"/>
  <c r="H17" i="3" s="1"/>
  <c r="J63" i="5"/>
  <c r="K31" i="5"/>
  <c r="K91" i="5" s="1"/>
  <c r="J87" i="5"/>
  <c r="J86" i="5"/>
  <c r="J85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2" i="5"/>
  <c r="J61" i="5"/>
  <c r="J60" i="5"/>
  <c r="J59" i="5"/>
  <c r="J58" i="5"/>
  <c r="J50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9" i="5"/>
  <c r="J8" i="5"/>
  <c r="J7" i="5"/>
  <c r="H91" i="5"/>
  <c r="G91" i="5"/>
  <c r="D6" i="5"/>
  <c r="J6" i="5" s="1"/>
  <c r="J91" i="5" s="1"/>
  <c r="D76" i="5"/>
  <c r="E31" i="5"/>
  <c r="E10" i="5"/>
  <c r="C26" i="4"/>
  <c r="C24" i="4"/>
  <c r="G8" i="4"/>
  <c r="G11" i="4" s="1"/>
  <c r="E8" i="4"/>
  <c r="E11" i="4" s="1"/>
  <c r="C8" i="4"/>
  <c r="G18" i="3" l="1"/>
  <c r="F18" i="3" s="1"/>
  <c r="H18" i="3" s="1"/>
  <c r="W14" i="3"/>
  <c r="E91" i="5"/>
  <c r="D93" i="5" s="1"/>
  <c r="D91" i="5"/>
  <c r="S10" i="3"/>
  <c r="L11" i="3"/>
  <c r="G14" i="2"/>
  <c r="G10" i="2"/>
  <c r="E10" i="2"/>
  <c r="E14" i="2" s="1"/>
  <c r="G7" i="2"/>
  <c r="E7" i="2"/>
  <c r="C7" i="2"/>
  <c r="K12" i="3" l="1"/>
  <c r="J12" i="3" s="1"/>
  <c r="R10" i="3"/>
  <c r="T10" i="3" s="1"/>
  <c r="O11" i="3"/>
  <c r="G19" i="3"/>
  <c r="F19" i="3" s="1"/>
  <c r="H19" i="3" s="1"/>
  <c r="V14" i="3"/>
  <c r="X14" i="3" s="1"/>
  <c r="S11" i="3" l="1"/>
  <c r="R11" i="3" s="1"/>
  <c r="T11" i="3" s="1"/>
  <c r="S12" i="3" s="1"/>
  <c r="R12" i="3" s="1"/>
  <c r="N11" i="3"/>
  <c r="G20" i="3"/>
  <c r="F20" i="3" s="1"/>
  <c r="H20" i="3" s="1"/>
  <c r="W15" i="3"/>
  <c r="P11" i="3" l="1"/>
  <c r="G21" i="3"/>
  <c r="F21" i="3" s="1"/>
  <c r="H21" i="3" s="1"/>
  <c r="V15" i="3"/>
  <c r="X15" i="3" s="1"/>
  <c r="W16" i="3" s="1"/>
  <c r="T12" i="3"/>
  <c r="S13" i="3" l="1"/>
  <c r="R13" i="3" s="1"/>
  <c r="T13" i="3" s="1"/>
  <c r="S14" i="3" s="1"/>
  <c r="R14" i="3" s="1"/>
  <c r="O12" i="3"/>
  <c r="N12" i="3" s="1"/>
  <c r="L12" i="3"/>
  <c r="K13" i="3" s="1"/>
  <c r="J13" i="3" s="1"/>
  <c r="G22" i="3"/>
  <c r="F22" i="3" s="1"/>
  <c r="H22" i="3" s="1"/>
  <c r="V16" i="3"/>
  <c r="X16" i="3" s="1"/>
  <c r="W17" i="3" s="1"/>
  <c r="P12" i="3" l="1"/>
  <c r="L13" i="3"/>
  <c r="K14" i="3" s="1"/>
  <c r="J14" i="3" s="1"/>
  <c r="G23" i="3"/>
  <c r="F23" i="3" s="1"/>
  <c r="H23" i="3" s="1"/>
  <c r="V17" i="3"/>
  <c r="X17" i="3" s="1"/>
  <c r="W18" i="3" s="1"/>
  <c r="T14" i="3" l="1"/>
  <c r="S15" i="3" s="1"/>
  <c r="R15" i="3" s="1"/>
  <c r="O13" i="3"/>
  <c r="N13" i="3" s="1"/>
  <c r="P13" i="3" s="1"/>
  <c r="L14" i="3"/>
  <c r="K15" i="3" s="1"/>
  <c r="J15" i="3" s="1"/>
  <c r="G24" i="3"/>
  <c r="F24" i="3" s="1"/>
  <c r="H24" i="3" s="1"/>
  <c r="V18" i="3"/>
  <c r="X18" i="3" s="1"/>
  <c r="W19" i="3" s="1"/>
  <c r="T15" i="3" l="1"/>
  <c r="O14" i="3"/>
  <c r="N14" i="3" s="1"/>
  <c r="P14" i="3" s="1"/>
  <c r="L15" i="3"/>
  <c r="K16" i="3" s="1"/>
  <c r="J16" i="3" s="1"/>
  <c r="G25" i="3"/>
  <c r="F25" i="3" s="1"/>
  <c r="H25" i="3" s="1"/>
  <c r="V19" i="3"/>
  <c r="X19" i="3" s="1"/>
  <c r="W20" i="3" s="1"/>
  <c r="S16" i="3" l="1"/>
  <c r="R16" i="3" s="1"/>
  <c r="T16" i="3" s="1"/>
  <c r="S17" i="3" s="1"/>
  <c r="R17" i="3" s="1"/>
  <c r="O15" i="3"/>
  <c r="N15" i="3" s="1"/>
  <c r="P15" i="3" s="1"/>
  <c r="L16" i="3"/>
  <c r="G26" i="3"/>
  <c r="F26" i="3" s="1"/>
  <c r="H26" i="3" s="1"/>
  <c r="V20" i="3"/>
  <c r="X20" i="3" s="1"/>
  <c r="W21" i="3" s="1"/>
  <c r="K17" i="3" l="1"/>
  <c r="J17" i="3" s="1"/>
  <c r="L17" i="3" s="1"/>
  <c r="K18" i="3" s="1"/>
  <c r="J18" i="3" s="1"/>
  <c r="T17" i="3"/>
  <c r="O16" i="3"/>
  <c r="N16" i="3" s="1"/>
  <c r="P16" i="3" s="1"/>
  <c r="G27" i="3"/>
  <c r="F27" i="3" s="1"/>
  <c r="H27" i="3" s="1"/>
  <c r="V21" i="3"/>
  <c r="X21" i="3" s="1"/>
  <c r="W22" i="3" s="1"/>
  <c r="S18" i="3" l="1"/>
  <c r="R18" i="3" s="1"/>
  <c r="T18" i="3"/>
  <c r="S19" i="3" s="1"/>
  <c r="R19" i="3" s="1"/>
  <c r="O17" i="3"/>
  <c r="N17" i="3" s="1"/>
  <c r="P17" i="3" s="1"/>
  <c r="L18" i="3"/>
  <c r="K19" i="3" s="1"/>
  <c r="J19" i="3" s="1"/>
  <c r="G28" i="3"/>
  <c r="F28" i="3" s="1"/>
  <c r="H28" i="3" s="1"/>
  <c r="T19" i="3"/>
  <c r="S20" i="3" s="1"/>
  <c r="R20" i="3" s="1"/>
  <c r="V22" i="3"/>
  <c r="X22" i="3" s="1"/>
  <c r="W23" i="3" s="1"/>
  <c r="O18" i="3" l="1"/>
  <c r="N18" i="3" s="1"/>
  <c r="P18" i="3" s="1"/>
  <c r="L19" i="3"/>
  <c r="K20" i="3" s="1"/>
  <c r="J20" i="3" s="1"/>
  <c r="G29" i="3"/>
  <c r="F29" i="3" s="1"/>
  <c r="H29" i="3" s="1"/>
  <c r="V23" i="3"/>
  <c r="X23" i="3" s="1"/>
  <c r="T20" i="3"/>
  <c r="S21" i="3" s="1"/>
  <c r="R21" i="3" s="1"/>
  <c r="O19" i="3" l="1"/>
  <c r="N19" i="3" s="1"/>
  <c r="P19" i="3" s="1"/>
  <c r="L20" i="3"/>
  <c r="K21" i="3" s="1"/>
  <c r="J21" i="3" s="1"/>
  <c r="G30" i="3"/>
  <c r="F30" i="3" s="1"/>
  <c r="H30" i="3" s="1"/>
  <c r="W24" i="3"/>
  <c r="T21" i="3"/>
  <c r="S22" i="3" s="1"/>
  <c r="R22" i="3" s="1"/>
  <c r="O20" i="3" l="1"/>
  <c r="N20" i="3" s="1"/>
  <c r="P20" i="3" s="1"/>
  <c r="L21" i="3"/>
  <c r="K22" i="3" s="1"/>
  <c r="J22" i="3" s="1"/>
  <c r="G31" i="3"/>
  <c r="F31" i="3" s="1"/>
  <c r="H31" i="3" s="1"/>
  <c r="T22" i="3"/>
  <c r="S23" i="3" s="1"/>
  <c r="R23" i="3" s="1"/>
  <c r="V24" i="3"/>
  <c r="X24" i="3" s="1"/>
  <c r="W25" i="3" s="1"/>
  <c r="O21" i="3" l="1"/>
  <c r="N21" i="3" s="1"/>
  <c r="P21" i="3" s="1"/>
  <c r="L22" i="3"/>
  <c r="K23" i="3" s="1"/>
  <c r="J23" i="3" s="1"/>
  <c r="G32" i="3"/>
  <c r="F32" i="3" s="1"/>
  <c r="H32" i="3" s="1"/>
  <c r="V25" i="3"/>
  <c r="X25" i="3" s="1"/>
  <c r="T23" i="3"/>
  <c r="S24" i="3" s="1"/>
  <c r="R24" i="3" s="1"/>
  <c r="O22" i="3" l="1"/>
  <c r="N22" i="3" s="1"/>
  <c r="P22" i="3" s="1"/>
  <c r="L23" i="3"/>
  <c r="K24" i="3" s="1"/>
  <c r="J24" i="3" s="1"/>
  <c r="G33" i="3"/>
  <c r="F33" i="3" s="1"/>
  <c r="H33" i="3" s="1"/>
  <c r="T24" i="3"/>
  <c r="S25" i="3" s="1"/>
  <c r="R25" i="3" s="1"/>
  <c r="W26" i="3"/>
  <c r="O23" i="3" l="1"/>
  <c r="N23" i="3" s="1"/>
  <c r="P23" i="3" s="1"/>
  <c r="L24" i="3"/>
  <c r="K25" i="3" s="1"/>
  <c r="J25" i="3" s="1"/>
  <c r="G34" i="3"/>
  <c r="F34" i="3" s="1"/>
  <c r="H34" i="3" s="1"/>
  <c r="T25" i="3"/>
  <c r="S26" i="3" s="1"/>
  <c r="R26" i="3" s="1"/>
  <c r="V26" i="3"/>
  <c r="X26" i="3" s="1"/>
  <c r="W27" i="3" s="1"/>
  <c r="O24" i="3" l="1"/>
  <c r="N24" i="3" s="1"/>
  <c r="P24" i="3" s="1"/>
  <c r="L25" i="3"/>
  <c r="K26" i="3" s="1"/>
  <c r="J26" i="3" s="1"/>
  <c r="G35" i="3"/>
  <c r="F35" i="3" s="1"/>
  <c r="H35" i="3" s="1"/>
  <c r="V27" i="3"/>
  <c r="X27" i="3" s="1"/>
  <c r="W28" i="3" s="1"/>
  <c r="T26" i="3"/>
  <c r="S27" i="3" s="1"/>
  <c r="R27" i="3" s="1"/>
  <c r="O25" i="3" l="1"/>
  <c r="N25" i="3" s="1"/>
  <c r="P25" i="3" s="1"/>
  <c r="L26" i="3"/>
  <c r="K27" i="3" s="1"/>
  <c r="J27" i="3" s="1"/>
  <c r="G36" i="3"/>
  <c r="F36" i="3" s="1"/>
  <c r="H36" i="3" s="1"/>
  <c r="T27" i="3"/>
  <c r="V28" i="3"/>
  <c r="X28" i="3" s="1"/>
  <c r="W29" i="3" s="1"/>
  <c r="S28" i="3" l="1"/>
  <c r="R28" i="3" s="1"/>
  <c r="T28" i="3" s="1"/>
  <c r="S29" i="3" s="1"/>
  <c r="R29" i="3" s="1"/>
  <c r="O26" i="3"/>
  <c r="N26" i="3" s="1"/>
  <c r="P26" i="3" s="1"/>
  <c r="L27" i="3"/>
  <c r="K28" i="3" s="1"/>
  <c r="J28" i="3" s="1"/>
  <c r="G37" i="3"/>
  <c r="F37" i="3" s="1"/>
  <c r="H37" i="3" s="1"/>
  <c r="V29" i="3"/>
  <c r="X29" i="3" s="1"/>
  <c r="W30" i="3" s="1"/>
  <c r="T29" i="3" l="1"/>
  <c r="O27" i="3"/>
  <c r="N27" i="3" s="1"/>
  <c r="P27" i="3" s="1"/>
  <c r="L28" i="3"/>
  <c r="K29" i="3" s="1"/>
  <c r="J29" i="3" s="1"/>
  <c r="G38" i="3"/>
  <c r="F38" i="3" s="1"/>
  <c r="H38" i="3" s="1"/>
  <c r="V30" i="3"/>
  <c r="X30" i="3" s="1"/>
  <c r="W31" i="3" s="1"/>
  <c r="S30" i="3" l="1"/>
  <c r="R30" i="3" s="1"/>
  <c r="T30" i="3"/>
  <c r="S31" i="3" s="1"/>
  <c r="R31" i="3" s="1"/>
  <c r="O28" i="3"/>
  <c r="N28" i="3" s="1"/>
  <c r="P28" i="3" s="1"/>
  <c r="L29" i="3"/>
  <c r="K30" i="3" s="1"/>
  <c r="J30" i="3" s="1"/>
  <c r="V31" i="3"/>
  <c r="X31" i="3" s="1"/>
  <c r="W32" i="3" s="1"/>
  <c r="O29" i="3" l="1"/>
  <c r="N29" i="3" s="1"/>
  <c r="P29" i="3" s="1"/>
  <c r="L30" i="3"/>
  <c r="K31" i="3" s="1"/>
  <c r="J31" i="3" s="1"/>
  <c r="V32" i="3"/>
  <c r="X32" i="3" s="1"/>
  <c r="W33" i="3" s="1"/>
  <c r="T31" i="3"/>
  <c r="S32" i="3" s="1"/>
  <c r="R32" i="3" s="1"/>
  <c r="T32" i="3" l="1"/>
  <c r="S33" i="3" s="1"/>
  <c r="R33" i="3" s="1"/>
  <c r="O30" i="3"/>
  <c r="N30" i="3" s="1"/>
  <c r="P30" i="3" s="1"/>
  <c r="L31" i="3"/>
  <c r="K32" i="3" s="1"/>
  <c r="J32" i="3" s="1"/>
  <c r="V33" i="3"/>
  <c r="X33" i="3" s="1"/>
  <c r="W34" i="3" s="1"/>
  <c r="O31" i="3" l="1"/>
  <c r="N31" i="3" s="1"/>
  <c r="P31" i="3" s="1"/>
  <c r="L32" i="3"/>
  <c r="K33" i="3" s="1"/>
  <c r="J33" i="3" s="1"/>
  <c r="T33" i="3"/>
  <c r="S34" i="3" s="1"/>
  <c r="R34" i="3" s="1"/>
  <c r="V34" i="3"/>
  <c r="X34" i="3" s="1"/>
  <c r="W35" i="3" s="1"/>
  <c r="O32" i="3" l="1"/>
  <c r="N32" i="3" s="1"/>
  <c r="P32" i="3" s="1"/>
  <c r="L33" i="3"/>
  <c r="K34" i="3" s="1"/>
  <c r="J34" i="3" s="1"/>
  <c r="V35" i="3"/>
  <c r="X35" i="3" s="1"/>
  <c r="W36" i="3" s="1"/>
  <c r="T34" i="3"/>
  <c r="S35" i="3" l="1"/>
  <c r="R35" i="3" s="1"/>
  <c r="T35" i="3" s="1"/>
  <c r="O33" i="3"/>
  <c r="N33" i="3" s="1"/>
  <c r="P33" i="3" s="1"/>
  <c r="L34" i="3"/>
  <c r="K35" i="3" s="1"/>
  <c r="J35" i="3" s="1"/>
  <c r="V36" i="3"/>
  <c r="X36" i="3" s="1"/>
  <c r="W37" i="3" s="1"/>
  <c r="S36" i="3" l="1"/>
  <c r="R36" i="3" s="1"/>
  <c r="T36" i="3"/>
  <c r="S37" i="3" s="1"/>
  <c r="R37" i="3" s="1"/>
  <c r="O34" i="3"/>
  <c r="N34" i="3" s="1"/>
  <c r="P34" i="3" s="1"/>
  <c r="L35" i="3"/>
  <c r="K36" i="3" s="1"/>
  <c r="J36" i="3" s="1"/>
  <c r="V37" i="3"/>
  <c r="X37" i="3" s="1"/>
  <c r="W38" i="3" s="1"/>
  <c r="O35" i="3" l="1"/>
  <c r="N35" i="3" s="1"/>
  <c r="P35" i="3" s="1"/>
  <c r="L36" i="3"/>
  <c r="K37" i="3" s="1"/>
  <c r="J37" i="3" s="1"/>
  <c r="V38" i="3"/>
  <c r="X38" i="3" s="1"/>
  <c r="W39" i="3" s="1"/>
  <c r="T37" i="3"/>
  <c r="S38" i="3" s="1"/>
  <c r="R38" i="3" s="1"/>
  <c r="T38" i="3" l="1"/>
  <c r="S39" i="3" s="1"/>
  <c r="R39" i="3" s="1"/>
  <c r="O36" i="3"/>
  <c r="N36" i="3" s="1"/>
  <c r="P36" i="3" s="1"/>
  <c r="L37" i="3"/>
  <c r="K38" i="3" s="1"/>
  <c r="J38" i="3" s="1"/>
  <c r="V39" i="3"/>
  <c r="X39" i="3" s="1"/>
  <c r="W40" i="3" s="1"/>
  <c r="O37" i="3" l="1"/>
  <c r="N37" i="3" s="1"/>
  <c r="P37" i="3" s="1"/>
  <c r="L38" i="3"/>
  <c r="K39" i="3" s="1"/>
  <c r="J39" i="3" s="1"/>
  <c r="V40" i="3"/>
  <c r="X40" i="3" s="1"/>
  <c r="W41" i="3" s="1"/>
  <c r="T39" i="3"/>
  <c r="S40" i="3" l="1"/>
  <c r="O38" i="3"/>
  <c r="N38" i="3" s="1"/>
  <c r="P38" i="3" s="1"/>
  <c r="L39" i="3"/>
  <c r="K40" i="3" s="1"/>
  <c r="J40" i="3" s="1"/>
  <c r="V41" i="3"/>
  <c r="X41" i="3" s="1"/>
  <c r="W42" i="3" s="1"/>
  <c r="R40" i="3" l="1"/>
  <c r="T40" i="3" s="1"/>
  <c r="S41" i="3" s="1"/>
  <c r="R41" i="3" s="1"/>
  <c r="O39" i="3"/>
  <c r="N39" i="3" s="1"/>
  <c r="P39" i="3" s="1"/>
  <c r="Z39" i="3"/>
  <c r="L40" i="3"/>
  <c r="V42" i="3"/>
  <c r="X42" i="3" s="1"/>
  <c r="W43" i="3" s="1"/>
  <c r="T41" i="3" l="1"/>
  <c r="S42" i="3" s="1"/>
  <c r="R42" i="3" s="1"/>
  <c r="O40" i="3"/>
  <c r="V43" i="3"/>
  <c r="X43" i="3" s="1"/>
  <c r="W44" i="3" s="1"/>
  <c r="T42" i="3"/>
  <c r="S43" i="3" s="1"/>
  <c r="R43" i="3" s="1"/>
  <c r="T43" i="3" l="1"/>
  <c r="N40" i="3"/>
  <c r="P40" i="3" s="1"/>
  <c r="V44" i="3"/>
  <c r="X44" i="3" s="1"/>
  <c r="W45" i="3" s="1"/>
  <c r="Z40" i="3" l="1"/>
  <c r="S44" i="3"/>
  <c r="R44" i="3" s="1"/>
  <c r="T44" i="3" s="1"/>
  <c r="S45" i="3" s="1"/>
  <c r="R45" i="3" s="1"/>
  <c r="O41" i="3"/>
  <c r="V45" i="3"/>
  <c r="X45" i="3" s="1"/>
  <c r="W46" i="3" s="1"/>
  <c r="T45" i="3" l="1"/>
  <c r="S46" i="3" s="1"/>
  <c r="R46" i="3" s="1"/>
  <c r="N41" i="3"/>
  <c r="P41" i="3" s="1"/>
  <c r="V46" i="3"/>
  <c r="X46" i="3" s="1"/>
  <c r="W47" i="3" s="1"/>
  <c r="Z41" i="3" l="1"/>
  <c r="O42" i="3"/>
  <c r="V47" i="3"/>
  <c r="X47" i="3" s="1"/>
  <c r="W48" i="3" s="1"/>
  <c r="T46" i="3"/>
  <c r="Z45" i="3"/>
  <c r="V48" i="3" l="1"/>
  <c r="Z48" i="3" s="1"/>
  <c r="S47" i="3"/>
  <c r="R47" i="3" s="1"/>
  <c r="T47" i="3" s="1"/>
  <c r="N42" i="3"/>
  <c r="P42" i="3" s="1"/>
  <c r="X48" i="3"/>
  <c r="Z46" i="3"/>
  <c r="Z47" i="3"/>
  <c r="Z42" i="3" l="1"/>
  <c r="O43" i="3"/>
  <c r="W49" i="3"/>
  <c r="V49" i="3"/>
  <c r="X49" i="3" s="1"/>
  <c r="N43" i="3" l="1"/>
  <c r="P43" i="3" s="1"/>
  <c r="Z43" i="3"/>
  <c r="W50" i="3"/>
  <c r="V50" i="3"/>
  <c r="X50" i="3" s="1"/>
  <c r="Z49" i="3"/>
  <c r="AD48" i="3" l="1"/>
  <c r="AD45" i="3"/>
  <c r="O44" i="3"/>
  <c r="Z50" i="3"/>
  <c r="AD50" i="3" s="1"/>
  <c r="AD46" i="3" l="1"/>
  <c r="AD47" i="3"/>
  <c r="AD49" i="3"/>
  <c r="N44" i="3"/>
  <c r="P44" i="3" s="1"/>
  <c r="Z34" i="3"/>
  <c r="Z35" i="3"/>
  <c r="Z44" i="3" l="1"/>
  <c r="AD44" i="3"/>
  <c r="AD43" i="3"/>
  <c r="AD41" i="3"/>
  <c r="AD42" i="3"/>
  <c r="AD40" i="3"/>
  <c r="AD39" i="3"/>
  <c r="Z37" i="3"/>
  <c r="Z36" i="3"/>
  <c r="Z38" i="3" l="1"/>
  <c r="C10" i="3"/>
  <c r="AD38" i="3" l="1"/>
  <c r="AD35" i="3"/>
  <c r="AD34" i="3"/>
  <c r="AD37" i="3"/>
  <c r="AD36" i="3"/>
  <c r="B10" i="3"/>
  <c r="D10" i="3" s="1"/>
  <c r="C11" i="3" s="1"/>
  <c r="Z10" i="3" l="1"/>
  <c r="B11" i="3"/>
  <c r="D11" i="3" s="1"/>
  <c r="C12" i="3" s="1"/>
  <c r="Z11" i="3" l="1"/>
  <c r="B12" i="3"/>
  <c r="D12" i="3" s="1"/>
  <c r="C13" i="3" l="1"/>
  <c r="Z12" i="3"/>
  <c r="B13" i="3" l="1"/>
  <c r="D13" i="3" s="1"/>
  <c r="Z13" i="3" l="1"/>
  <c r="C14" i="3"/>
  <c r="B14" i="3" l="1"/>
  <c r="D14" i="3" s="1"/>
  <c r="Z14" i="3" l="1"/>
  <c r="C15" i="3"/>
  <c r="B15" i="3" l="1"/>
  <c r="D15" i="3" s="1"/>
  <c r="Z15" i="3" l="1"/>
  <c r="C16" i="3"/>
  <c r="B16" i="3" l="1"/>
  <c r="D16" i="3" s="1"/>
  <c r="C17" i="3" l="1"/>
  <c r="Z16" i="3"/>
  <c r="B17" i="3" l="1"/>
  <c r="D17" i="3" s="1"/>
  <c r="Z17" i="3" l="1"/>
  <c r="C18" i="3"/>
  <c r="B18" i="3" l="1"/>
  <c r="D18" i="3" s="1"/>
  <c r="C19" i="3" l="1"/>
  <c r="Z18" i="3"/>
  <c r="B19" i="3" l="1"/>
  <c r="D19" i="3" s="1"/>
  <c r="Z19" i="3" l="1"/>
  <c r="C20" i="3"/>
  <c r="B20" i="3" l="1"/>
  <c r="D20" i="3" s="1"/>
  <c r="Z20" i="3" l="1"/>
  <c r="C21" i="3"/>
  <c r="B21" i="3" l="1"/>
  <c r="D21" i="3" s="1"/>
  <c r="C22" i="3" l="1"/>
  <c r="Z21" i="3"/>
  <c r="B22" i="3" l="1"/>
  <c r="D22" i="3" s="1"/>
  <c r="Z22" i="3" l="1"/>
  <c r="C23" i="3"/>
  <c r="B23" i="3" l="1"/>
  <c r="D23" i="3" s="1"/>
  <c r="Z23" i="3" l="1"/>
  <c r="C24" i="3"/>
  <c r="B24" i="3" l="1"/>
  <c r="D24" i="3" s="1"/>
  <c r="C25" i="3" l="1"/>
  <c r="Z24" i="3"/>
  <c r="B25" i="3" l="1"/>
  <c r="D25" i="3" s="1"/>
  <c r="C26" i="3" l="1"/>
  <c r="Z25" i="3"/>
  <c r="B26" i="3" l="1"/>
  <c r="D26" i="3" s="1"/>
  <c r="Z26" i="3"/>
  <c r="C27" i="3" l="1"/>
  <c r="B27" i="3" l="1"/>
  <c r="D27" i="3" s="1"/>
  <c r="Z27" i="3" l="1"/>
  <c r="C28" i="3"/>
  <c r="B28" i="3" l="1"/>
  <c r="D28" i="3" s="1"/>
  <c r="C29" i="3" l="1"/>
  <c r="Z28" i="3"/>
  <c r="B29" i="3" l="1"/>
  <c r="D29" i="3" s="1"/>
  <c r="C30" i="3" l="1"/>
  <c r="Z29" i="3"/>
  <c r="B30" i="3" l="1"/>
  <c r="D30" i="3" s="1"/>
  <c r="Z30" i="3" l="1"/>
  <c r="C31" i="3"/>
  <c r="B31" i="3" l="1"/>
  <c r="D31" i="3" s="1"/>
  <c r="C32" i="3" l="1"/>
  <c r="Z31" i="3"/>
  <c r="B32" i="3" l="1"/>
  <c r="D32" i="3" s="1"/>
  <c r="C33" i="3" l="1"/>
  <c r="Z32" i="3"/>
  <c r="B33" i="3" l="1"/>
  <c r="D33" i="3" s="1"/>
  <c r="Z33" i="3" l="1"/>
  <c r="Z52" i="3" l="1"/>
  <c r="AD8" i="3"/>
  <c r="AD7" i="3"/>
  <c r="AD9" i="3"/>
  <c r="AD11" i="3"/>
  <c r="AD10" i="3"/>
  <c r="AD12" i="3"/>
  <c r="AD13" i="3"/>
  <c r="AD14" i="3"/>
  <c r="AD15" i="3"/>
  <c r="AD16" i="3"/>
  <c r="AD17" i="3"/>
  <c r="AD18" i="3"/>
  <c r="AD19" i="3"/>
  <c r="AD33" i="3"/>
  <c r="AD20" i="3"/>
  <c r="AD21" i="3"/>
  <c r="AD22" i="3"/>
  <c r="AD23" i="3"/>
  <c r="AD24" i="3"/>
  <c r="AD25" i="3"/>
  <c r="AD26" i="3"/>
  <c r="AD32" i="3"/>
  <c r="AD27" i="3"/>
  <c r="AD31" i="3"/>
  <c r="AD30" i="3"/>
  <c r="AD29" i="3"/>
  <c r="AD28" i="3"/>
  <c r="E15" i="4" l="1"/>
  <c r="C15" i="4"/>
  <c r="G15" i="4"/>
</calcChain>
</file>

<file path=xl/sharedStrings.xml><?xml version="1.0" encoding="utf-8"?>
<sst xmlns="http://schemas.openxmlformats.org/spreadsheetml/2006/main" count="156" uniqueCount="127">
  <si>
    <t>AFTER COMPLETION</t>
  </si>
  <si>
    <t>BRONSTON WATER ASSOCIATION</t>
  </si>
  <si>
    <t>DEBT SERVICE COVERAGE</t>
  </si>
  <si>
    <t>OPERATING REVENUES</t>
  </si>
  <si>
    <t>OPERATING EXPENSES</t>
  </si>
  <si>
    <t>OPERATING INCOME (LOSS)</t>
  </si>
  <si>
    <t>ADD BACK: DEPRECIATION EXP</t>
  </si>
  <si>
    <t>ADD BACK: PENSION/OPEB EXP</t>
  </si>
  <si>
    <t>AVERAGE ANNUAL DEBT SERVICE</t>
  </si>
  <si>
    <t>DEBT SERVICE COVERAGE RATIO</t>
  </si>
  <si>
    <t>USDA RD LOAN</t>
  </si>
  <si>
    <t>91-03</t>
  </si>
  <si>
    <t>YEAR</t>
  </si>
  <si>
    <t>PRINCIPAL</t>
  </si>
  <si>
    <t>INTEREST</t>
  </si>
  <si>
    <t>BALANCE</t>
  </si>
  <si>
    <t>91-05</t>
  </si>
  <si>
    <t>91-09</t>
  </si>
  <si>
    <t>91-11</t>
  </si>
  <si>
    <t>91-13</t>
  </si>
  <si>
    <t>PROPOSED USDA SCHEDULE</t>
  </si>
  <si>
    <t>TOTAL</t>
  </si>
  <si>
    <t>DEBT</t>
  </si>
  <si>
    <t>SERVICE</t>
  </si>
  <si>
    <t>(ALL ISSUES)</t>
  </si>
  <si>
    <t>AVERAGE</t>
  </si>
  <si>
    <t>ANNUAL</t>
  </si>
  <si>
    <t>DEBT SVC</t>
  </si>
  <si>
    <t>DEPRECIATION EXPENSE</t>
  </si>
  <si>
    <t>Increase in depreciation</t>
  </si>
  <si>
    <t>Water line expansion</t>
  </si>
  <si>
    <t>555,000 / 62.5 (PSC estimated life)</t>
  </si>
  <si>
    <t>depreciation expense</t>
  </si>
  <si>
    <t>(a)</t>
  </si>
  <si>
    <t>(b)</t>
  </si>
  <si>
    <t>( c )</t>
  </si>
  <si>
    <t>(a) assumes a 3.2% rate increase in year one</t>
  </si>
  <si>
    <t>(b) assumes 3% increase in operating expenses in year 1</t>
  </si>
  <si>
    <t xml:space="preserve">       assumes 2% increase in operating expenses in years 2 and 3</t>
  </si>
  <si>
    <t xml:space="preserve">( c) </t>
  </si>
  <si>
    <t>TRIAL BALANCE</t>
  </si>
  <si>
    <t>(prepared by JP, CPA)</t>
  </si>
  <si>
    <t>unaudited</t>
  </si>
  <si>
    <t>audit</t>
  </si>
  <si>
    <t>adjustments</t>
  </si>
  <si>
    <t>audited TB</t>
  </si>
  <si>
    <t>Utility plant in service</t>
  </si>
  <si>
    <t>Office building</t>
  </si>
  <si>
    <t>Parking lot</t>
  </si>
  <si>
    <t>Vehicles</t>
  </si>
  <si>
    <t>Accum depr</t>
  </si>
  <si>
    <t>Cash -  O &amp; M</t>
  </si>
  <si>
    <t>Renters deposit acct</t>
  </si>
  <si>
    <t>CNB depreciation reserve</t>
  </si>
  <si>
    <t>Twin Rivers acct</t>
  </si>
  <si>
    <t>Revenue sinking</t>
  </si>
  <si>
    <t>Capital savings</t>
  </si>
  <si>
    <t>Savings CNB</t>
  </si>
  <si>
    <t>Savings short lived assets</t>
  </si>
  <si>
    <t>Accum capital account</t>
  </si>
  <si>
    <t>CD CNB</t>
  </si>
  <si>
    <t>CNB Sinking</t>
  </si>
  <si>
    <t>CNB sinking</t>
  </si>
  <si>
    <t>Highway bond</t>
  </si>
  <si>
    <t>Customer AR</t>
  </si>
  <si>
    <t>Prepaid insurance</t>
  </si>
  <si>
    <t>unappropriated RE</t>
  </si>
  <si>
    <t>RD 91-03</t>
  </si>
  <si>
    <t>RD 91-05</t>
  </si>
  <si>
    <t>RD 91-09</t>
  </si>
  <si>
    <t>RD 91-11</t>
  </si>
  <si>
    <t>RD 91-13</t>
  </si>
  <si>
    <t>Accounts payable</t>
  </si>
  <si>
    <t>Membership fees</t>
  </si>
  <si>
    <t>Customer deposits</t>
  </si>
  <si>
    <t>payroll tax withheld</t>
  </si>
  <si>
    <t>sales tax payable</t>
  </si>
  <si>
    <t>utility tax payable</t>
  </si>
  <si>
    <t>accrued interest</t>
  </si>
  <si>
    <t>Tap on fees</t>
  </si>
  <si>
    <t>Federal grants in aid of const</t>
  </si>
  <si>
    <t>Grant USDA</t>
  </si>
  <si>
    <t>Grant Governor's office</t>
  </si>
  <si>
    <t>KY grant funds</t>
  </si>
  <si>
    <t>Member investments</t>
  </si>
  <si>
    <t>Funds received RD</t>
  </si>
  <si>
    <t>Residential sales</t>
  </si>
  <si>
    <t>penalties</t>
  </si>
  <si>
    <t>Reconnects</t>
  </si>
  <si>
    <t>Meter turned on</t>
  </si>
  <si>
    <t>Meter reset</t>
  </si>
  <si>
    <t>Miscellaneous</t>
  </si>
  <si>
    <t>Trans and dist wages</t>
  </si>
  <si>
    <t>Directors' fees</t>
  </si>
  <si>
    <t>Purchased water</t>
  </si>
  <si>
    <t>Purchased power</t>
  </si>
  <si>
    <t>Materials and supplies</t>
  </si>
  <si>
    <t>Trans and dist maintenance</t>
  </si>
  <si>
    <t>Office</t>
  </si>
  <si>
    <t>Accounting</t>
  </si>
  <si>
    <t>Audit</t>
  </si>
  <si>
    <t>Water analysis</t>
  </si>
  <si>
    <t>Trans and dist operating</t>
  </si>
  <si>
    <t>Maintenance</t>
  </si>
  <si>
    <t>Operations</t>
  </si>
  <si>
    <t>Workers comp</t>
  </si>
  <si>
    <t>health ins</t>
  </si>
  <si>
    <t>Customer accounts</t>
  </si>
  <si>
    <t>Rent</t>
  </si>
  <si>
    <t>Office expense</t>
  </si>
  <si>
    <t>Telephone</t>
  </si>
  <si>
    <t>postage</t>
  </si>
  <si>
    <t>credit card fees</t>
  </si>
  <si>
    <t>advertising</t>
  </si>
  <si>
    <t>depreciation</t>
  </si>
  <si>
    <t>refunds</t>
  </si>
  <si>
    <t>KRW annual fee</t>
  </si>
  <si>
    <t>interest income</t>
  </si>
  <si>
    <t>bad debt recovery</t>
  </si>
  <si>
    <t>interest expense</t>
  </si>
  <si>
    <t>PSC fee</t>
  </si>
  <si>
    <t>payroll taxes</t>
  </si>
  <si>
    <t>accumulated amort</t>
  </si>
  <si>
    <t>amortization expense</t>
  </si>
  <si>
    <t>inventory</t>
  </si>
  <si>
    <t>CPA who compiles annual statement does not record amortization expense</t>
  </si>
  <si>
    <t>Accumulated amortization is adjusted through equity on audited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</si>
</sst>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00%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1" fontId="0" fillId="0" borderId="0" xfId="0" applyNumberFormat="1"/>
    <xf numFmtId="41" fontId="0" fillId="0" borderId="2" xfId="0" applyNumberFormat="1" applyBorder="1"/>
    <xf numFmtId="41" fontId="0" fillId="0" borderId="0" xfId="0" applyNumberFormat="1" applyBorder="1"/>
    <xf numFmtId="42" fontId="0" fillId="0" borderId="0" xfId="0" applyNumberFormat="1"/>
    <xf numFmtId="164" fontId="0" fillId="0" borderId="0" xfId="0" applyNumberFormat="1"/>
    <xf numFmtId="0" fontId="0" fillId="0" borderId="0" xfId="0" quotePrefix="1"/>
    <xf numFmtId="43" fontId="0" fillId="0" borderId="0" xfId="0" applyNumberFormat="1"/>
    <xf numFmtId="0" fontId="1" fillId="0" borderId="1" xfId="0" applyFont="1" applyBorder="1" applyAlignment="1">
      <alignment horizontal="centerContinuous"/>
    </xf>
    <xf numFmtId="14" fontId="1" fillId="0" borderId="0" xfId="0" applyNumberFormat="1" applyFont="1"/>
    <xf numFmtId="43" fontId="1" fillId="0" borderId="0" xfId="0" applyNumberFormat="1" applyFont="1"/>
    <xf numFmtId="0" fontId="1" fillId="0" borderId="0" xfId="0" quotePrefix="1" applyFont="1"/>
    <xf numFmtId="6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3" fontId="0" fillId="0" borderId="0" xfId="0" applyNumberFormat="1"/>
    <xf numFmtId="166" fontId="0" fillId="0" borderId="0" xfId="0" applyNumberFormat="1"/>
    <xf numFmtId="0" fontId="0" fillId="0" borderId="0" xfId="0" applyFont="1"/>
    <xf numFmtId="166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C13" sqref="C13"/>
    </sheetView>
  </sheetViews>
  <sheetFormatPr defaultRowHeight="15" x14ac:dyDescent="0.25"/>
  <cols>
    <col min="1" max="1" width="31.5703125" customWidth="1"/>
    <col min="3" max="3" width="11.140625" bestFit="1" customWidth="1"/>
    <col min="4" max="4" width="3.7109375" customWidth="1"/>
    <col min="5" max="5" width="11.140625" bestFit="1" customWidth="1"/>
    <col min="6" max="6" width="3.7109375" customWidth="1"/>
    <col min="7" max="7" width="11.140625" bestFit="1" customWidth="1"/>
  </cols>
  <sheetData>
    <row r="1" spans="1:7" x14ac:dyDescent="0.25">
      <c r="A1" s="1" t="s">
        <v>1</v>
      </c>
    </row>
    <row r="2" spans="1:7" x14ac:dyDescent="0.25">
      <c r="A2" s="1" t="s">
        <v>2</v>
      </c>
    </row>
    <row r="4" spans="1:7" ht="15.75" thickBot="1" x14ac:dyDescent="0.3">
      <c r="C4" s="2">
        <v>2017</v>
      </c>
      <c r="E4" s="2">
        <v>2018</v>
      </c>
      <c r="G4" s="2">
        <v>2019</v>
      </c>
    </row>
    <row r="5" spans="1:7" x14ac:dyDescent="0.25">
      <c r="A5" t="s">
        <v>3</v>
      </c>
      <c r="C5" s="6">
        <v>745855</v>
      </c>
      <c r="D5" s="3"/>
      <c r="E5" s="6">
        <v>770495</v>
      </c>
      <c r="F5" s="3"/>
      <c r="G5" s="6">
        <v>835949</v>
      </c>
    </row>
    <row r="6" spans="1:7" x14ac:dyDescent="0.25">
      <c r="A6" t="s">
        <v>4</v>
      </c>
      <c r="C6" s="4">
        <v>-600842</v>
      </c>
      <c r="D6" s="3"/>
      <c r="E6" s="4">
        <v>-653516</v>
      </c>
      <c r="F6" s="3"/>
      <c r="G6" s="4">
        <v>-643850</v>
      </c>
    </row>
    <row r="7" spans="1:7" x14ac:dyDescent="0.25">
      <c r="A7" t="s">
        <v>5</v>
      </c>
      <c r="C7" s="5">
        <f>SUM(C5:C6)</f>
        <v>145013</v>
      </c>
      <c r="D7" s="5"/>
      <c r="E7" s="5">
        <f>SUM(E5:E6)</f>
        <v>116979</v>
      </c>
      <c r="F7" s="5"/>
      <c r="G7" s="5">
        <f>SUM(G5:G6)</f>
        <v>192099</v>
      </c>
    </row>
    <row r="8" spans="1:7" x14ac:dyDescent="0.25">
      <c r="A8" t="s">
        <v>7</v>
      </c>
      <c r="C8" s="3">
        <v>0</v>
      </c>
      <c r="D8" s="3"/>
      <c r="E8" s="3">
        <v>0</v>
      </c>
      <c r="F8" s="3"/>
      <c r="G8" s="3">
        <v>0</v>
      </c>
    </row>
    <row r="9" spans="1:7" x14ac:dyDescent="0.25">
      <c r="A9" t="s">
        <v>6</v>
      </c>
      <c r="C9" s="4">
        <v>200355</v>
      </c>
      <c r="D9" s="3"/>
      <c r="E9" s="4">
        <v>215354</v>
      </c>
      <c r="F9" s="3"/>
      <c r="G9" s="4">
        <v>228084</v>
      </c>
    </row>
    <row r="10" spans="1:7" x14ac:dyDescent="0.25">
      <c r="C10" s="3">
        <f>C7+C9</f>
        <v>345368</v>
      </c>
      <c r="D10" s="3"/>
      <c r="E10" s="3">
        <f>E7+E9</f>
        <v>332333</v>
      </c>
      <c r="F10" s="3"/>
      <c r="G10" s="3">
        <f>G7+G9</f>
        <v>420183</v>
      </c>
    </row>
    <row r="11" spans="1:7" x14ac:dyDescent="0.25">
      <c r="C11" s="3"/>
      <c r="D11" s="3"/>
      <c r="E11" s="3"/>
      <c r="F11" s="3"/>
      <c r="G11" s="3"/>
    </row>
    <row r="12" spans="1:7" x14ac:dyDescent="0.25">
      <c r="A12" t="s">
        <v>8</v>
      </c>
      <c r="C12" s="3">
        <f>'Amort schedules'!AB7</f>
        <v>148959.93181818182</v>
      </c>
      <c r="D12" s="3"/>
      <c r="E12" s="3">
        <f>'Amort schedules'!AB8</f>
        <v>149739.6976744186</v>
      </c>
      <c r="F12" s="3"/>
      <c r="G12" s="3">
        <f>'Amort schedules'!AB9</f>
        <v>149946.95238095237</v>
      </c>
    </row>
    <row r="14" spans="1:7" x14ac:dyDescent="0.25">
      <c r="A14" t="s">
        <v>9</v>
      </c>
      <c r="C14" s="7">
        <f>C10/C12</f>
        <v>2.3185295252521385</v>
      </c>
      <c r="E14" s="7">
        <f>E10/E12</f>
        <v>2.2194047748286292</v>
      </c>
      <c r="G14" s="7">
        <f>G10/G12</f>
        <v>2.8022110041455934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C12" sqref="C12"/>
    </sheetView>
  </sheetViews>
  <sheetFormatPr defaultRowHeight="15" x14ac:dyDescent="0.25"/>
  <cols>
    <col min="1" max="1" width="31.5703125" customWidth="1"/>
    <col min="3" max="3" width="11.5703125" bestFit="1" customWidth="1"/>
    <col min="4" max="4" width="3.7109375" customWidth="1"/>
    <col min="5" max="5" width="11.140625" bestFit="1" customWidth="1"/>
    <col min="6" max="6" width="3.7109375" customWidth="1"/>
    <col min="7" max="7" width="11.140625" bestFit="1" customWidth="1"/>
  </cols>
  <sheetData>
    <row r="1" spans="1:8" x14ac:dyDescent="0.25">
      <c r="A1" s="1" t="s">
        <v>1</v>
      </c>
    </row>
    <row r="2" spans="1:8" ht="15.75" thickBot="1" x14ac:dyDescent="0.3">
      <c r="A2" s="1" t="s">
        <v>2</v>
      </c>
      <c r="C2" s="10" t="s">
        <v>0</v>
      </c>
      <c r="D2" s="10"/>
      <c r="E2" s="10"/>
      <c r="F2" s="10"/>
      <c r="G2" s="10"/>
    </row>
    <row r="4" spans="1:8" ht="15.75" thickBot="1" x14ac:dyDescent="0.3">
      <c r="C4" s="2">
        <v>2022</v>
      </c>
      <c r="E4" s="2">
        <v>2023</v>
      </c>
      <c r="G4" s="2">
        <v>2024</v>
      </c>
    </row>
    <row r="5" spans="1:8" x14ac:dyDescent="0.25">
      <c r="A5" t="s">
        <v>3</v>
      </c>
      <c r="C5" s="6">
        <v>862600</v>
      </c>
      <c r="D5" s="3"/>
      <c r="E5" s="6">
        <v>862600</v>
      </c>
      <c r="F5" s="3"/>
      <c r="G5" s="6">
        <v>862600</v>
      </c>
      <c r="H5" t="s">
        <v>33</v>
      </c>
    </row>
    <row r="6" spans="1:8" x14ac:dyDescent="0.25">
      <c r="A6" t="s">
        <v>28</v>
      </c>
      <c r="C6" s="3">
        <v>-236964</v>
      </c>
      <c r="D6" s="3"/>
      <c r="E6" s="3">
        <v>-236964</v>
      </c>
      <c r="F6" s="3"/>
      <c r="G6" s="3">
        <v>-236964</v>
      </c>
      <c r="H6" t="s">
        <v>35</v>
      </c>
    </row>
    <row r="7" spans="1:8" x14ac:dyDescent="0.25">
      <c r="A7" t="s">
        <v>4</v>
      </c>
      <c r="C7" s="4">
        <v>-600842</v>
      </c>
      <c r="D7" s="3"/>
      <c r="E7" s="4">
        <v>-653516</v>
      </c>
      <c r="F7" s="3"/>
      <c r="G7" s="4">
        <v>-643850</v>
      </c>
      <c r="H7" s="8" t="s">
        <v>34</v>
      </c>
    </row>
    <row r="8" spans="1:8" x14ac:dyDescent="0.25">
      <c r="A8" t="s">
        <v>5</v>
      </c>
      <c r="C8" s="5">
        <f>SUM(C5:C7)</f>
        <v>24794</v>
      </c>
      <c r="D8" s="5"/>
      <c r="E8" s="5">
        <f>SUM(E5:E7)</f>
        <v>-27880</v>
      </c>
      <c r="F8" s="5"/>
      <c r="G8" s="5">
        <f>SUM(G5:G7)</f>
        <v>-18214</v>
      </c>
    </row>
    <row r="9" spans="1:8" x14ac:dyDescent="0.25">
      <c r="A9" t="s">
        <v>7</v>
      </c>
      <c r="C9" s="3">
        <v>0</v>
      </c>
      <c r="D9" s="3"/>
      <c r="E9" s="3">
        <v>0</v>
      </c>
      <c r="F9" s="3"/>
      <c r="G9" s="3">
        <v>0</v>
      </c>
    </row>
    <row r="10" spans="1:8" x14ac:dyDescent="0.25">
      <c r="A10" t="s">
        <v>6</v>
      </c>
      <c r="C10" s="4">
        <v>236964</v>
      </c>
      <c r="D10" s="3"/>
      <c r="E10" s="4">
        <v>236964</v>
      </c>
      <c r="F10" s="3"/>
      <c r="G10" s="4">
        <v>236964</v>
      </c>
    </row>
    <row r="11" spans="1:8" x14ac:dyDescent="0.25">
      <c r="C11" s="3">
        <f>C8+C10</f>
        <v>261758</v>
      </c>
      <c r="D11" s="3"/>
      <c r="E11" s="3">
        <f>E8+E10</f>
        <v>209084</v>
      </c>
      <c r="F11" s="3"/>
      <c r="G11" s="3">
        <f>G8+G10</f>
        <v>218750</v>
      </c>
    </row>
    <row r="12" spans="1:8" x14ac:dyDescent="0.25">
      <c r="C12" s="3"/>
      <c r="D12" s="3"/>
      <c r="E12" s="3"/>
      <c r="F12" s="3"/>
      <c r="G12" s="3"/>
    </row>
    <row r="13" spans="1:8" x14ac:dyDescent="0.25">
      <c r="A13" t="s">
        <v>8</v>
      </c>
      <c r="C13" s="3">
        <f>'Amort schedules'!AB12</f>
        <v>149338.79487179487</v>
      </c>
      <c r="D13" s="3"/>
      <c r="E13" s="3">
        <f>'Amort schedules'!AB13</f>
        <v>148637.84210526315</v>
      </c>
      <c r="F13" s="3"/>
      <c r="G13" s="3">
        <f>'Amort schedules'!AB14</f>
        <v>147617.75675675675</v>
      </c>
    </row>
    <row r="15" spans="1:8" x14ac:dyDescent="0.25">
      <c r="A15" t="s">
        <v>9</v>
      </c>
      <c r="C15" s="7">
        <f>C11/C13</f>
        <v>1.7527796459367129</v>
      </c>
      <c r="E15" s="7">
        <f>E11/E13</f>
        <v>1.4066673536065586</v>
      </c>
      <c r="G15" s="7">
        <f>G11/G13</f>
        <v>1.4818677969782073</v>
      </c>
    </row>
    <row r="17" spans="1:3" x14ac:dyDescent="0.25">
      <c r="A17" t="s">
        <v>36</v>
      </c>
    </row>
    <row r="18" spans="1:3" x14ac:dyDescent="0.25">
      <c r="A18" t="s">
        <v>37</v>
      </c>
    </row>
    <row r="19" spans="1:3" x14ac:dyDescent="0.25">
      <c r="A19" t="s">
        <v>38</v>
      </c>
    </row>
    <row r="21" spans="1:3" x14ac:dyDescent="0.25">
      <c r="A21" t="s">
        <v>39</v>
      </c>
    </row>
    <row r="22" spans="1:3" x14ac:dyDescent="0.25">
      <c r="A22" t="s">
        <v>29</v>
      </c>
      <c r="C22" s="3">
        <v>228084</v>
      </c>
    </row>
    <row r="23" spans="1:3" x14ac:dyDescent="0.25">
      <c r="A23" t="s">
        <v>30</v>
      </c>
      <c r="C23" s="3"/>
    </row>
    <row r="24" spans="1:3" x14ac:dyDescent="0.25">
      <c r="A24" t="s">
        <v>31</v>
      </c>
      <c r="C24" s="4">
        <f>555000/62.5</f>
        <v>8880</v>
      </c>
    </row>
    <row r="25" spans="1:3" x14ac:dyDescent="0.25">
      <c r="C25" s="3"/>
    </row>
    <row r="26" spans="1:3" x14ac:dyDescent="0.25">
      <c r="A26" t="s">
        <v>32</v>
      </c>
      <c r="C26" s="3">
        <f>C22+C24</f>
        <v>236964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2"/>
  <sheetViews>
    <sheetView tabSelected="1" zoomScaleNormal="100" workbookViewId="0">
      <selection activeCell="K10" sqref="K10"/>
    </sheetView>
  </sheetViews>
  <sheetFormatPr defaultRowHeight="15" x14ac:dyDescent="0.25"/>
  <cols>
    <col min="2" max="2" width="12.42578125" customWidth="1"/>
    <col min="4" max="4" width="11.140625" bestFit="1" customWidth="1"/>
    <col min="6" max="6" width="11.85546875" customWidth="1"/>
    <col min="7" max="7" width="10.7109375" customWidth="1"/>
    <col min="8" max="8" width="10" bestFit="1" customWidth="1"/>
    <col min="10" max="12" width="12.7109375" customWidth="1"/>
    <col min="14" max="16" width="12.7109375" customWidth="1"/>
    <col min="18" max="20" width="12.7109375" customWidth="1"/>
    <col min="22" max="24" width="12.7109375" customWidth="1"/>
    <col min="25" max="25" width="3.7109375" customWidth="1"/>
    <col min="26" max="26" width="11.7109375" customWidth="1"/>
    <col min="27" max="27" width="3.7109375" customWidth="1"/>
    <col min="28" max="28" width="13.28515625" bestFit="1" customWidth="1"/>
    <col min="29" max="29" width="4.5703125" customWidth="1"/>
    <col min="30" max="30" width="13.28515625" customWidth="1"/>
  </cols>
  <sheetData>
    <row r="1" spans="1:32" x14ac:dyDescent="0.25">
      <c r="B1" s="1" t="s">
        <v>10</v>
      </c>
      <c r="C1" s="1"/>
      <c r="D1" s="1"/>
      <c r="E1" s="1"/>
      <c r="F1" s="1" t="s">
        <v>10</v>
      </c>
      <c r="G1" s="1"/>
      <c r="H1" s="1"/>
      <c r="I1" s="1"/>
      <c r="J1" s="1" t="s">
        <v>10</v>
      </c>
      <c r="K1" s="1"/>
      <c r="L1" s="1"/>
      <c r="M1" s="1"/>
      <c r="N1" s="1" t="s">
        <v>10</v>
      </c>
      <c r="O1" s="1"/>
      <c r="P1" s="1"/>
      <c r="Q1" s="1"/>
      <c r="R1" s="1" t="s">
        <v>10</v>
      </c>
      <c r="S1" s="1"/>
      <c r="T1" s="1"/>
      <c r="U1" s="1"/>
      <c r="V1" s="1" t="s">
        <v>20</v>
      </c>
      <c r="W1" s="1"/>
      <c r="X1" s="1"/>
      <c r="Y1" s="1"/>
      <c r="Z1" s="1"/>
      <c r="AA1" s="1"/>
      <c r="AB1" s="1"/>
    </row>
    <row r="2" spans="1:32" x14ac:dyDescent="0.25">
      <c r="B2" s="13" t="s">
        <v>11</v>
      </c>
      <c r="C2" s="14">
        <v>418000</v>
      </c>
      <c r="D2" s="1"/>
      <c r="E2" s="1"/>
      <c r="F2" s="13" t="s">
        <v>16</v>
      </c>
      <c r="G2" s="14">
        <v>850000</v>
      </c>
      <c r="H2" s="1"/>
      <c r="I2" s="1"/>
      <c r="J2" s="1" t="s">
        <v>17</v>
      </c>
      <c r="K2" s="14">
        <v>462000</v>
      </c>
      <c r="L2" s="1"/>
      <c r="M2" s="1"/>
      <c r="N2" s="1" t="s">
        <v>18</v>
      </c>
      <c r="O2" s="14">
        <v>787000</v>
      </c>
      <c r="P2" s="1"/>
      <c r="Q2" s="1"/>
      <c r="R2" s="1" t="s">
        <v>19</v>
      </c>
      <c r="S2" s="14">
        <v>1380000</v>
      </c>
      <c r="T2" s="1"/>
      <c r="U2" s="1"/>
      <c r="V2" s="1"/>
      <c r="W2" s="14">
        <v>555000</v>
      </c>
      <c r="X2" s="1"/>
      <c r="Y2" s="1"/>
      <c r="Z2" s="1" t="s">
        <v>21</v>
      </c>
      <c r="AA2" s="1"/>
      <c r="AB2" s="1" t="s">
        <v>25</v>
      </c>
    </row>
    <row r="3" spans="1:32" x14ac:dyDescent="0.25">
      <c r="B3" s="1"/>
      <c r="C3" s="15">
        <v>4.2500000000000003E-2</v>
      </c>
      <c r="D3" s="1"/>
      <c r="E3" s="1"/>
      <c r="F3" s="1"/>
      <c r="G3" s="16">
        <v>4.1250000000000002E-2</v>
      </c>
      <c r="H3" s="1"/>
      <c r="I3" s="1"/>
      <c r="J3" s="1"/>
      <c r="K3" s="15">
        <v>2.5000000000000001E-2</v>
      </c>
      <c r="L3" s="1"/>
      <c r="M3" s="1"/>
      <c r="N3" s="1"/>
      <c r="O3" s="16">
        <v>1.8749999999999999E-2</v>
      </c>
      <c r="P3" s="1"/>
      <c r="Q3" s="1"/>
      <c r="R3" s="1"/>
      <c r="S3" s="16">
        <v>1.8749999999999999E-2</v>
      </c>
      <c r="T3" s="1"/>
      <c r="U3" s="1"/>
      <c r="V3" s="1"/>
      <c r="W3" s="15">
        <v>1.7500000000000002E-2</v>
      </c>
      <c r="X3" s="1"/>
      <c r="Y3" s="1"/>
      <c r="Z3" s="1" t="s">
        <v>22</v>
      </c>
      <c r="AA3" s="1"/>
      <c r="AB3" s="1" t="s">
        <v>26</v>
      </c>
    </row>
    <row r="4" spans="1:32" x14ac:dyDescent="0.25">
      <c r="A4" s="1" t="s">
        <v>12</v>
      </c>
      <c r="B4" s="1" t="s">
        <v>13</v>
      </c>
      <c r="C4" s="1" t="s">
        <v>14</v>
      </c>
      <c r="D4" s="1" t="s">
        <v>15</v>
      </c>
      <c r="E4" s="1"/>
      <c r="F4" s="1" t="s">
        <v>13</v>
      </c>
      <c r="G4" s="1" t="s">
        <v>14</v>
      </c>
      <c r="H4" s="1" t="s">
        <v>15</v>
      </c>
      <c r="I4" s="1"/>
      <c r="J4" s="1" t="s">
        <v>13</v>
      </c>
      <c r="K4" s="1" t="s">
        <v>14</v>
      </c>
      <c r="L4" s="1" t="s">
        <v>15</v>
      </c>
      <c r="M4" s="1"/>
      <c r="N4" s="1" t="s">
        <v>13</v>
      </c>
      <c r="O4" s="1" t="s">
        <v>14</v>
      </c>
      <c r="P4" s="1" t="s">
        <v>15</v>
      </c>
      <c r="Q4" s="1"/>
      <c r="R4" s="1" t="s">
        <v>13</v>
      </c>
      <c r="S4" s="1" t="s">
        <v>14</v>
      </c>
      <c r="T4" s="1" t="s">
        <v>15</v>
      </c>
      <c r="U4" s="1"/>
      <c r="V4" s="1" t="s">
        <v>13</v>
      </c>
      <c r="W4" s="1" t="s">
        <v>14</v>
      </c>
      <c r="X4" s="1" t="s">
        <v>15</v>
      </c>
      <c r="Y4" s="1"/>
      <c r="Z4" s="1" t="s">
        <v>23</v>
      </c>
      <c r="AA4" s="1"/>
      <c r="AB4" s="1" t="s">
        <v>27</v>
      </c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0" t="s">
        <v>24</v>
      </c>
      <c r="AA5" s="1"/>
      <c r="AB5" s="1"/>
    </row>
    <row r="6" spans="1:32" x14ac:dyDescent="0.25">
      <c r="A6" s="19">
        <v>2016</v>
      </c>
      <c r="B6" s="20"/>
      <c r="C6" s="20"/>
      <c r="D6" s="20">
        <v>355426</v>
      </c>
      <c r="E6" s="20"/>
      <c r="F6" s="20"/>
      <c r="G6" s="20"/>
      <c r="H6" s="20">
        <v>786014</v>
      </c>
      <c r="I6" s="20"/>
      <c r="J6" s="20"/>
      <c r="K6" s="20"/>
      <c r="L6" s="20">
        <v>431170</v>
      </c>
      <c r="M6" s="20"/>
      <c r="N6" s="20"/>
      <c r="O6" s="20"/>
      <c r="P6" s="20">
        <v>787000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2" x14ac:dyDescent="0.25">
      <c r="A7" s="19">
        <v>2017</v>
      </c>
      <c r="B7" s="20">
        <f>22634-C7</f>
        <v>7528.3949999999986</v>
      </c>
      <c r="C7" s="20">
        <f>0.0425*D6</f>
        <v>15105.605000000001</v>
      </c>
      <c r="D7" s="20">
        <f>D6-B7</f>
        <v>347897.60499999998</v>
      </c>
      <c r="E7" s="20"/>
      <c r="F7" s="20">
        <f>44679-G7</f>
        <v>12255.922499999997</v>
      </c>
      <c r="G7" s="20">
        <f>0.04125*H6</f>
        <v>32423.077500000003</v>
      </c>
      <c r="H7" s="20">
        <f>H6-F7</f>
        <v>773758.07750000001</v>
      </c>
      <c r="I7" s="20"/>
      <c r="J7" s="20">
        <f>18974-K7</f>
        <v>8194.75</v>
      </c>
      <c r="K7" s="20">
        <f>0.025*L6</f>
        <v>10779.25</v>
      </c>
      <c r="L7" s="20">
        <f>L6-J7</f>
        <v>422975.25</v>
      </c>
      <c r="M7" s="20"/>
      <c r="N7" s="20">
        <f>29143-O7</f>
        <v>14386.75</v>
      </c>
      <c r="O7" s="20">
        <f>0.01875*P6</f>
        <v>14756.25</v>
      </c>
      <c r="P7" s="20">
        <f>P6-N7</f>
        <v>772613.25</v>
      </c>
      <c r="Q7" s="20"/>
      <c r="R7" s="20"/>
      <c r="S7" s="20"/>
      <c r="T7" s="20">
        <v>1380000</v>
      </c>
      <c r="U7" s="20"/>
      <c r="V7" s="20"/>
      <c r="W7" s="20"/>
      <c r="X7" s="20"/>
      <c r="Y7" s="20"/>
      <c r="Z7" s="18">
        <f>W7+V7+S7+R7+O7+N7+K7+J7+G7+F7+C7+B7</f>
        <v>115430</v>
      </c>
      <c r="AA7" s="20"/>
      <c r="AB7" s="20">
        <f>Z52/44</f>
        <v>148959.93181818182</v>
      </c>
      <c r="AC7" s="20"/>
      <c r="AD7" s="17">
        <f>+AVERAGE($Z7:$Z50)</f>
        <v>148959.93181818182</v>
      </c>
      <c r="AF7">
        <v>2017</v>
      </c>
    </row>
    <row r="8" spans="1:32" x14ac:dyDescent="0.25">
      <c r="A8">
        <v>2018</v>
      </c>
      <c r="B8" s="17">
        <f>22364-C8</f>
        <v>7578.3517874999998</v>
      </c>
      <c r="C8" s="17">
        <f>0.0425*D7</f>
        <v>14785.6482125</v>
      </c>
      <c r="D8" s="17">
        <f>D7-B8</f>
        <v>340319.25321249996</v>
      </c>
      <c r="E8" s="17"/>
      <c r="F8" s="17">
        <f>44679-G8</f>
        <v>12761.479303124997</v>
      </c>
      <c r="G8" s="17">
        <f>H7*0.04125</f>
        <v>31917.520696875003</v>
      </c>
      <c r="H8" s="17">
        <f>H7-F8</f>
        <v>760996.59819687507</v>
      </c>
      <c r="I8" s="17"/>
      <c r="J8" s="17">
        <f>18974-K8</f>
        <v>8399.6187499999996</v>
      </c>
      <c r="K8" s="17">
        <f>L7*0.025</f>
        <v>10574.38125</v>
      </c>
      <c r="L8" s="17">
        <f>L7-J8</f>
        <v>414575.63124999998</v>
      </c>
      <c r="M8" s="17"/>
      <c r="N8" s="17">
        <f>29143-O8</f>
        <v>14656.5015625</v>
      </c>
      <c r="O8" s="17">
        <f>0.01875*P7</f>
        <v>14486.4984375</v>
      </c>
      <c r="P8" s="17">
        <f>P7-N8</f>
        <v>757956.74843749998</v>
      </c>
      <c r="Q8" s="17"/>
      <c r="R8" s="17">
        <v>0</v>
      </c>
      <c r="S8" s="17">
        <f>0.01875*T7</f>
        <v>25875</v>
      </c>
      <c r="T8" s="17">
        <f>T7-R8</f>
        <v>1380000</v>
      </c>
      <c r="U8" s="17"/>
      <c r="V8" s="17"/>
      <c r="W8" s="17"/>
      <c r="X8" s="17"/>
      <c r="Y8" s="17"/>
      <c r="Z8" s="17">
        <f>W8+V8+S8+R8+O8+N8+K8+J8+G8+F8+C8+B8</f>
        <v>141035</v>
      </c>
      <c r="AA8" s="17"/>
      <c r="AB8" s="17">
        <f>(Z52-Z7)/43</f>
        <v>149739.6976744186</v>
      </c>
      <c r="AC8" s="17"/>
      <c r="AD8" s="17">
        <f>+AVERAGE($Z8:$Z50)</f>
        <v>149739.6976744186</v>
      </c>
      <c r="AF8">
        <v>2018</v>
      </c>
    </row>
    <row r="9" spans="1:32" x14ac:dyDescent="0.25">
      <c r="A9">
        <v>2019</v>
      </c>
      <c r="B9" s="17">
        <f>22364-C9</f>
        <v>7900.4317384687511</v>
      </c>
      <c r="C9" s="17">
        <f>0.0425*D8</f>
        <v>14463.568261531249</v>
      </c>
      <c r="D9" s="17">
        <f>D8-B9</f>
        <v>332418.8214740312</v>
      </c>
      <c r="E9" s="17"/>
      <c r="F9" s="17">
        <f t="shared" ref="F9:F38" si="0">44679-G9</f>
        <v>13287.890324378903</v>
      </c>
      <c r="G9" s="17">
        <f>H8*0.04125</f>
        <v>31391.109675621097</v>
      </c>
      <c r="H9" s="17">
        <f>H8-F9</f>
        <v>747708.70787249622</v>
      </c>
      <c r="I9" s="17"/>
      <c r="J9" s="17">
        <f>18974-K9</f>
        <v>8609.6092187499999</v>
      </c>
      <c r="K9" s="17">
        <f>L8*0.025</f>
        <v>10364.39078125</v>
      </c>
      <c r="L9" s="17">
        <f>L8-J9</f>
        <v>405966.02203125</v>
      </c>
      <c r="M9" s="17"/>
      <c r="N9" s="17">
        <f t="shared" ref="N9:N44" si="1">29143-O9</f>
        <v>14931.310966796877</v>
      </c>
      <c r="O9" s="17">
        <f t="shared" ref="O9:O44" si="2">0.01875*P8</f>
        <v>14211.689033203123</v>
      </c>
      <c r="P9" s="17">
        <f t="shared" ref="P9:P44" si="3">P8-N9</f>
        <v>743025.43747070315</v>
      </c>
      <c r="Q9" s="17"/>
      <c r="R9" s="17">
        <v>0</v>
      </c>
      <c r="S9" s="17">
        <f>0.01875*T8</f>
        <v>25875</v>
      </c>
      <c r="T9" s="17">
        <f>T8-R9</f>
        <v>1380000</v>
      </c>
      <c r="U9" s="17"/>
      <c r="V9" s="17"/>
      <c r="W9" s="17"/>
      <c r="X9" s="17"/>
      <c r="Y9" s="17"/>
      <c r="Z9" s="17">
        <f t="shared" ref="Z9:Z11" si="4">W9+V9+S9+R9+O9+N9+K9+J9+G9+F9+C9+B9</f>
        <v>141035</v>
      </c>
      <c r="AA9" s="17"/>
      <c r="AB9" s="17">
        <f>(Z52-Z7-Z8)/42</f>
        <v>149946.95238095237</v>
      </c>
      <c r="AC9" s="17"/>
      <c r="AD9" s="17">
        <f>+AVERAGE($Z9:$Z50)</f>
        <v>149946.95238095237</v>
      </c>
      <c r="AF9">
        <v>2019</v>
      </c>
    </row>
    <row r="10" spans="1:32" x14ac:dyDescent="0.25">
      <c r="A10">
        <v>2020</v>
      </c>
      <c r="B10" s="17">
        <f t="shared" ref="B10:B33" si="5">22364-C10</f>
        <v>8236.2000873536726</v>
      </c>
      <c r="C10" s="17">
        <f>0.0425*D9</f>
        <v>14127.799912646327</v>
      </c>
      <c r="D10" s="17">
        <f>D9-B10</f>
        <v>324182.62138667755</v>
      </c>
      <c r="E10" s="17"/>
      <c r="F10" s="17">
        <f t="shared" si="0"/>
        <v>13836.015800259531</v>
      </c>
      <c r="G10" s="17">
        <f t="shared" ref="G10:G38" si="6">H9*0.04125</f>
        <v>30842.984199740469</v>
      </c>
      <c r="H10" s="17">
        <f t="shared" ref="H10:H38" si="7">H9-F10</f>
        <v>733872.69207223668</v>
      </c>
      <c r="I10" s="17"/>
      <c r="J10" s="17">
        <f t="shared" ref="J10:J40" si="8">18974-K10</f>
        <v>8824.8494492187492</v>
      </c>
      <c r="K10" s="17">
        <f t="shared" ref="K10:K40" si="9">L9*0.025</f>
        <v>10149.150550781251</v>
      </c>
      <c r="L10" s="17">
        <f>L9-J10</f>
        <v>397141.17258203123</v>
      </c>
      <c r="M10" s="17"/>
      <c r="N10" s="17">
        <f t="shared" si="1"/>
        <v>15211.273047424316</v>
      </c>
      <c r="O10" s="17">
        <f t="shared" si="2"/>
        <v>13931.726952575684</v>
      </c>
      <c r="P10" s="17">
        <f t="shared" si="3"/>
        <v>727814.16442327888</v>
      </c>
      <c r="Q10" s="17"/>
      <c r="R10" s="17">
        <f>51102-S10</f>
        <v>25227</v>
      </c>
      <c r="S10" s="17">
        <f>T9*0.01875</f>
        <v>25875</v>
      </c>
      <c r="T10" s="17">
        <f>T9-R10</f>
        <v>1354773</v>
      </c>
      <c r="U10" s="17"/>
      <c r="V10" s="17"/>
      <c r="W10" s="17"/>
      <c r="X10" s="17"/>
      <c r="Y10" s="17"/>
      <c r="Z10" s="17">
        <f t="shared" si="4"/>
        <v>166262</v>
      </c>
      <c r="AA10" s="17"/>
      <c r="AB10" s="17">
        <f>(Z52-Z7-Z8-Z9)/41</f>
        <v>150164.31707317074</v>
      </c>
      <c r="AC10" s="17"/>
      <c r="AD10" s="17">
        <f>+AVERAGE($Z10:$Z50)</f>
        <v>150164.31707317074</v>
      </c>
      <c r="AF10">
        <v>2020</v>
      </c>
    </row>
    <row r="11" spans="1:32" x14ac:dyDescent="0.25">
      <c r="A11">
        <v>2021</v>
      </c>
      <c r="B11" s="17">
        <f t="shared" si="5"/>
        <v>8586.2385910662033</v>
      </c>
      <c r="C11" s="17">
        <f t="shared" ref="C11:C32" si="10">0.0425*D10</f>
        <v>13777.761408933797</v>
      </c>
      <c r="D11" s="17">
        <f>D10-B11</f>
        <v>315596.38279561134</v>
      </c>
      <c r="E11" s="17"/>
      <c r="F11" s="17">
        <f t="shared" si="0"/>
        <v>14406.751452020235</v>
      </c>
      <c r="G11" s="17">
        <f t="shared" si="6"/>
        <v>30272.248547979765</v>
      </c>
      <c r="H11" s="17">
        <f t="shared" si="7"/>
        <v>719465.94062021642</v>
      </c>
      <c r="I11" s="17"/>
      <c r="J11" s="17">
        <f t="shared" si="8"/>
        <v>9045.4706854492179</v>
      </c>
      <c r="K11" s="17">
        <f>L10*0.025</f>
        <v>9928.5293145507821</v>
      </c>
      <c r="L11" s="17">
        <f t="shared" ref="L11:L40" si="11">L10-J11</f>
        <v>388095.70189658203</v>
      </c>
      <c r="M11" s="17"/>
      <c r="N11" s="17">
        <f t="shared" si="1"/>
        <v>15496.484417063521</v>
      </c>
      <c r="O11" s="17">
        <f t="shared" si="2"/>
        <v>13646.515582936479</v>
      </c>
      <c r="P11" s="17">
        <f t="shared" si="3"/>
        <v>712317.68000621535</v>
      </c>
      <c r="Q11" s="17"/>
      <c r="R11" s="17">
        <f t="shared" ref="R11:R47" si="12">51102-S11</f>
        <v>25700.006250000002</v>
      </c>
      <c r="S11" s="17">
        <f>T10*0.01875</f>
        <v>25401.993749999998</v>
      </c>
      <c r="T11" s="17">
        <f>T10-R11</f>
        <v>1329072.9937499999</v>
      </c>
      <c r="U11" s="17"/>
      <c r="V11" s="17"/>
      <c r="W11" s="17"/>
      <c r="X11" s="17"/>
      <c r="Y11" s="17"/>
      <c r="Z11" s="17">
        <f t="shared" si="4"/>
        <v>166262</v>
      </c>
      <c r="AA11" s="17"/>
      <c r="AB11" s="17">
        <f>(Z52-Z7-Z8-Z9-Z10)/40</f>
        <v>149761.875</v>
      </c>
      <c r="AC11" s="17"/>
      <c r="AD11" s="17">
        <f>+AVERAGE($Z11:$Z50)</f>
        <v>149761.875</v>
      </c>
      <c r="AF11">
        <v>2021</v>
      </c>
    </row>
    <row r="12" spans="1:32" x14ac:dyDescent="0.25">
      <c r="A12">
        <v>2022</v>
      </c>
      <c r="B12" s="17">
        <f t="shared" si="5"/>
        <v>8951.1537311865177</v>
      </c>
      <c r="C12" s="17">
        <f t="shared" si="10"/>
        <v>13412.846268813482</v>
      </c>
      <c r="D12" s="17">
        <f t="shared" ref="D12:D33" si="13">D11-B12</f>
        <v>306645.22906442481</v>
      </c>
      <c r="E12" s="17"/>
      <c r="F12" s="17">
        <f t="shared" si="0"/>
        <v>15001.029949416072</v>
      </c>
      <c r="G12" s="17">
        <f t="shared" si="6"/>
        <v>29677.970050583928</v>
      </c>
      <c r="H12" s="17">
        <f t="shared" si="7"/>
        <v>704464.91067080037</v>
      </c>
      <c r="I12" s="17"/>
      <c r="J12" s="17">
        <f t="shared" si="8"/>
        <v>9271.6074525854492</v>
      </c>
      <c r="K12" s="17">
        <f>L11*0.025</f>
        <v>9702.3925474145508</v>
      </c>
      <c r="L12" s="17">
        <f t="shared" si="11"/>
        <v>378824.09444399655</v>
      </c>
      <c r="M12" s="17"/>
      <c r="N12" s="17">
        <f t="shared" si="1"/>
        <v>15787.043499883463</v>
      </c>
      <c r="O12" s="17">
        <f t="shared" si="2"/>
        <v>13355.956500116537</v>
      </c>
      <c r="P12" s="17">
        <f t="shared" si="3"/>
        <v>696530.63650633185</v>
      </c>
      <c r="Q12" s="17"/>
      <c r="R12" s="17">
        <f t="shared" si="12"/>
        <v>26181.881367187503</v>
      </c>
      <c r="S12" s="17">
        <f t="shared" ref="S12:S47" si="14">T11*0.01875</f>
        <v>24920.118632812497</v>
      </c>
      <c r="T12" s="17">
        <f t="shared" ref="T12:T47" si="15">T11-R12</f>
        <v>1302891.1123828124</v>
      </c>
      <c r="U12" s="17"/>
      <c r="V12" s="17">
        <v>0</v>
      </c>
      <c r="W12" s="17">
        <v>9713</v>
      </c>
      <c r="X12" s="18">
        <v>555000</v>
      </c>
      <c r="Y12" s="18"/>
      <c r="Z12" s="17">
        <f>W12+V12+S12+R12+O12+N12+K12+J12+G12+F12+C12+B12</f>
        <v>175975</v>
      </c>
      <c r="AA12" s="18"/>
      <c r="AB12" s="17">
        <f>(Z52-Z7-Z8-Z9-Z10-Z11)/39</f>
        <v>149338.79487179487</v>
      </c>
      <c r="AC12" s="18"/>
      <c r="AD12" s="17">
        <f>+AVERAGE($Z12:$Z50)</f>
        <v>149338.79487179487</v>
      </c>
      <c r="AF12">
        <v>2022</v>
      </c>
    </row>
    <row r="13" spans="1:32" x14ac:dyDescent="0.25">
      <c r="A13">
        <v>2023</v>
      </c>
      <c r="B13" s="17">
        <f t="shared" si="5"/>
        <v>9331.5777647619452</v>
      </c>
      <c r="C13" s="17">
        <f t="shared" si="10"/>
        <v>13032.422235238055</v>
      </c>
      <c r="D13" s="17">
        <f t="shared" si="13"/>
        <v>297313.65129966289</v>
      </c>
      <c r="E13" s="17"/>
      <c r="F13" s="17">
        <f t="shared" si="0"/>
        <v>15619.822434829483</v>
      </c>
      <c r="G13" s="17">
        <f t="shared" si="6"/>
        <v>29059.177565170517</v>
      </c>
      <c r="H13" s="17">
        <f t="shared" si="7"/>
        <v>688845.08823597094</v>
      </c>
      <c r="I13" s="17"/>
      <c r="J13" s="17">
        <f t="shared" si="8"/>
        <v>9503.3976389000854</v>
      </c>
      <c r="K13" s="17">
        <f t="shared" si="9"/>
        <v>9470.6023610999146</v>
      </c>
      <c r="L13" s="17">
        <f t="shared" si="11"/>
        <v>369320.69680509646</v>
      </c>
      <c r="M13" s="17"/>
      <c r="N13" s="17">
        <f t="shared" si="1"/>
        <v>16083.050565506279</v>
      </c>
      <c r="O13" s="17">
        <f t="shared" si="2"/>
        <v>13059.949434493721</v>
      </c>
      <c r="P13" s="17">
        <f t="shared" si="3"/>
        <v>680447.58594082552</v>
      </c>
      <c r="Q13" s="17"/>
      <c r="R13" s="17">
        <f t="shared" si="12"/>
        <v>26672.791642822267</v>
      </c>
      <c r="S13" s="17">
        <f t="shared" si="14"/>
        <v>24429.208357177733</v>
      </c>
      <c r="T13" s="17">
        <f t="shared" si="15"/>
        <v>1276218.3207399901</v>
      </c>
      <c r="U13" s="17"/>
      <c r="V13" s="17">
        <f>20119-W13</f>
        <v>10406.499999999998</v>
      </c>
      <c r="W13" s="17">
        <f>X12*0.0175</f>
        <v>9712.5000000000018</v>
      </c>
      <c r="X13" s="17">
        <f>X12-V13</f>
        <v>544593.5</v>
      </c>
      <c r="Y13" s="17"/>
      <c r="Z13" s="17">
        <f>W13+V13+S13+R13+O13+N13+K13+J13+G13+F13+C13+B13</f>
        <v>186381</v>
      </c>
      <c r="AA13" s="17"/>
      <c r="AB13" s="17">
        <f>(Z52-Z7-Z8-Z9-Z10-Z11-Z12)/38</f>
        <v>148637.84210526315</v>
      </c>
      <c r="AC13" s="17"/>
      <c r="AD13" s="17">
        <f>+AVERAGE($Z13:$Z50)</f>
        <v>148637.84210526315</v>
      </c>
      <c r="AF13">
        <v>2023</v>
      </c>
    </row>
    <row r="14" spans="1:32" x14ac:dyDescent="0.25">
      <c r="A14">
        <v>2024</v>
      </c>
      <c r="B14" s="17">
        <f t="shared" si="5"/>
        <v>9728.1698197643273</v>
      </c>
      <c r="C14" s="17">
        <f t="shared" si="10"/>
        <v>12635.830180235673</v>
      </c>
      <c r="D14" s="17">
        <f t="shared" si="13"/>
        <v>287585.48147989856</v>
      </c>
      <c r="E14" s="17"/>
      <c r="F14" s="17">
        <f t="shared" si="0"/>
        <v>16264.140110266198</v>
      </c>
      <c r="G14" s="17">
        <f t="shared" si="6"/>
        <v>28414.859889733802</v>
      </c>
      <c r="H14" s="17">
        <f t="shared" si="7"/>
        <v>672580.94812570477</v>
      </c>
      <c r="I14" s="17"/>
      <c r="J14" s="17">
        <f t="shared" si="8"/>
        <v>9740.9825798725888</v>
      </c>
      <c r="K14" s="17">
        <f t="shared" si="9"/>
        <v>9233.0174201274112</v>
      </c>
      <c r="L14" s="17">
        <f t="shared" si="11"/>
        <v>359579.71422522387</v>
      </c>
      <c r="M14" s="17"/>
      <c r="N14" s="17">
        <f t="shared" si="1"/>
        <v>16384.607763609521</v>
      </c>
      <c r="O14" s="17">
        <f t="shared" si="2"/>
        <v>12758.392236390479</v>
      </c>
      <c r="P14" s="17">
        <f t="shared" si="3"/>
        <v>664062.97817721602</v>
      </c>
      <c r="Q14" s="17"/>
      <c r="R14" s="17">
        <f t="shared" si="12"/>
        <v>27172.906486125186</v>
      </c>
      <c r="S14" s="17">
        <f t="shared" si="14"/>
        <v>23929.093513874814</v>
      </c>
      <c r="T14" s="17">
        <f t="shared" si="15"/>
        <v>1249045.4142538649</v>
      </c>
      <c r="U14" s="17"/>
      <c r="V14" s="17">
        <f>20119-W14</f>
        <v>10588.613749999999</v>
      </c>
      <c r="W14" s="17">
        <f>X13*0.0175</f>
        <v>9530.3862500000014</v>
      </c>
      <c r="X14" s="17">
        <f>X13-V14</f>
        <v>534004.88624999998</v>
      </c>
      <c r="Y14" s="17"/>
      <c r="Z14" s="17">
        <f>W14+V14+S14+R14+O14+N14+K14+J14+G14+F14+C14+B14</f>
        <v>186381</v>
      </c>
      <c r="AA14" s="17"/>
      <c r="AB14" s="17">
        <f>(Z52-Z7-Z8-Z9-Z10-Z11-Z12-Z13)/37</f>
        <v>147617.75675675675</v>
      </c>
      <c r="AC14" s="17"/>
      <c r="AD14" s="17">
        <f>+AVERAGE($Z14:$Z50)</f>
        <v>147617.75675675675</v>
      </c>
      <c r="AF14">
        <v>2024</v>
      </c>
    </row>
    <row r="15" spans="1:32" x14ac:dyDescent="0.25">
      <c r="A15">
        <v>2025</v>
      </c>
      <c r="B15" s="17">
        <f t="shared" si="5"/>
        <v>10141.61703710431</v>
      </c>
      <c r="C15" s="17">
        <f t="shared" si="10"/>
        <v>12222.38296289569</v>
      </c>
      <c r="D15" s="17">
        <f t="shared" si="13"/>
        <v>277443.86444279423</v>
      </c>
      <c r="E15" s="17"/>
      <c r="F15" s="17">
        <f t="shared" si="0"/>
        <v>16935.035889814677</v>
      </c>
      <c r="G15" s="17">
        <f t="shared" si="6"/>
        <v>27743.964110185323</v>
      </c>
      <c r="H15" s="17">
        <f t="shared" si="7"/>
        <v>655645.91223589005</v>
      </c>
      <c r="I15" s="17"/>
      <c r="J15" s="17">
        <f t="shared" si="8"/>
        <v>9984.5071443694032</v>
      </c>
      <c r="K15" s="17">
        <f t="shared" si="9"/>
        <v>8989.4928556305968</v>
      </c>
      <c r="L15" s="17">
        <f t="shared" si="11"/>
        <v>349595.20708085445</v>
      </c>
      <c r="M15" s="17"/>
      <c r="N15" s="17">
        <f t="shared" si="1"/>
        <v>16691.819159177197</v>
      </c>
      <c r="O15" s="17">
        <f t="shared" si="2"/>
        <v>12451.180840822801</v>
      </c>
      <c r="P15" s="17">
        <f t="shared" si="3"/>
        <v>647371.15901803877</v>
      </c>
      <c r="Q15" s="17"/>
      <c r="R15" s="17">
        <f t="shared" si="12"/>
        <v>27682.398482740035</v>
      </c>
      <c r="S15" s="17">
        <f t="shared" si="14"/>
        <v>23419.601517259965</v>
      </c>
      <c r="T15" s="17">
        <f t="shared" si="15"/>
        <v>1221363.015771125</v>
      </c>
      <c r="U15" s="17"/>
      <c r="V15" s="17">
        <f t="shared" ref="V15:V50" si="16">20119-W15</f>
        <v>10773.914490625</v>
      </c>
      <c r="W15" s="17">
        <f t="shared" ref="W15:W50" si="17">X14*0.0175</f>
        <v>9345.0855093749997</v>
      </c>
      <c r="X15" s="17">
        <f t="shared" ref="X15:X50" si="18">X14-V15</f>
        <v>523230.97175937495</v>
      </c>
      <c r="Y15" s="17"/>
      <c r="Z15" s="17">
        <f t="shared" ref="Z15:Z50" si="19">W15+V15+S15+R15+O15+N15+K15+J15+G15+F15+C15+B15</f>
        <v>186381</v>
      </c>
      <c r="AA15" s="17"/>
      <c r="AB15" s="17">
        <f>(Z52-Z7-Z8-Z9-Z10-Z11-Z12-Z13-Z14)/36</f>
        <v>146541</v>
      </c>
      <c r="AC15" s="17"/>
      <c r="AD15" s="17">
        <f>+AVERAGE($Z15:$Z50)</f>
        <v>146541</v>
      </c>
      <c r="AF15">
        <v>2025</v>
      </c>
    </row>
    <row r="16" spans="1:32" x14ac:dyDescent="0.25">
      <c r="A16">
        <v>2026</v>
      </c>
      <c r="B16" s="17">
        <f t="shared" si="5"/>
        <v>10572.635761181244</v>
      </c>
      <c r="C16" s="17">
        <f t="shared" si="10"/>
        <v>11791.364238818756</v>
      </c>
      <c r="D16" s="17">
        <f t="shared" si="13"/>
        <v>266871.22868161299</v>
      </c>
      <c r="E16" s="17"/>
      <c r="F16" s="17">
        <f t="shared" si="0"/>
        <v>17633.606120269535</v>
      </c>
      <c r="G16" s="17">
        <f t="shared" si="6"/>
        <v>27045.393879730465</v>
      </c>
      <c r="H16" s="17">
        <f t="shared" si="7"/>
        <v>638012.30611562054</v>
      </c>
      <c r="I16" s="17"/>
      <c r="J16" s="17">
        <f t="shared" si="8"/>
        <v>10234.119822978639</v>
      </c>
      <c r="K16" s="17">
        <f t="shared" si="9"/>
        <v>8739.8801770213613</v>
      </c>
      <c r="L16" s="17">
        <f t="shared" si="11"/>
        <v>339361.08725787583</v>
      </c>
      <c r="M16" s="17"/>
      <c r="N16" s="17">
        <f t="shared" si="1"/>
        <v>17004.790768411774</v>
      </c>
      <c r="O16" s="17">
        <f t="shared" si="2"/>
        <v>12138.209231588227</v>
      </c>
      <c r="P16" s="17">
        <f t="shared" si="3"/>
        <v>630366.36824962695</v>
      </c>
      <c r="Q16" s="17"/>
      <c r="R16" s="17">
        <f t="shared" si="12"/>
        <v>28201.443454291406</v>
      </c>
      <c r="S16" s="17">
        <f t="shared" si="14"/>
        <v>22900.556545708594</v>
      </c>
      <c r="T16" s="17">
        <f t="shared" si="15"/>
        <v>1193161.5723168335</v>
      </c>
      <c r="U16" s="17"/>
      <c r="V16" s="17">
        <f t="shared" si="16"/>
        <v>10962.457994210938</v>
      </c>
      <c r="W16" s="17">
        <f t="shared" si="17"/>
        <v>9156.5420057890624</v>
      </c>
      <c r="X16" s="17">
        <f t="shared" si="18"/>
        <v>512268.51376516401</v>
      </c>
      <c r="Y16" s="17"/>
      <c r="Z16" s="17">
        <f t="shared" si="19"/>
        <v>186381</v>
      </c>
      <c r="AA16" s="17"/>
      <c r="AB16" s="20"/>
      <c r="AC16" s="17"/>
      <c r="AD16" s="17">
        <f>+AVERAGE($Z16:$Z50)</f>
        <v>145402.71428571429</v>
      </c>
      <c r="AF16">
        <v>2026</v>
      </c>
    </row>
    <row r="17" spans="1:32" x14ac:dyDescent="0.25">
      <c r="A17">
        <v>2027</v>
      </c>
      <c r="B17" s="17">
        <f t="shared" si="5"/>
        <v>11021.972781031447</v>
      </c>
      <c r="C17" s="17">
        <f t="shared" si="10"/>
        <v>11342.027218968553</v>
      </c>
      <c r="D17" s="17">
        <f t="shared" si="13"/>
        <v>255849.25590058154</v>
      </c>
      <c r="E17" s="17"/>
      <c r="F17" s="17">
        <f t="shared" si="0"/>
        <v>18360.992372730652</v>
      </c>
      <c r="G17" s="17">
        <f t="shared" si="6"/>
        <v>26318.007627269348</v>
      </c>
      <c r="H17" s="17">
        <f t="shared" si="7"/>
        <v>619651.31374288991</v>
      </c>
      <c r="I17" s="17"/>
      <c r="J17" s="17">
        <f t="shared" si="8"/>
        <v>10489.972818553104</v>
      </c>
      <c r="K17" s="17">
        <f>L16*0.025</f>
        <v>8484.0271814468961</v>
      </c>
      <c r="L17" s="17">
        <f t="shared" si="11"/>
        <v>328871.11443932273</v>
      </c>
      <c r="M17" s="17"/>
      <c r="N17" s="17">
        <f t="shared" si="1"/>
        <v>17323.630595319497</v>
      </c>
      <c r="O17" s="17">
        <f t="shared" si="2"/>
        <v>11819.369404680505</v>
      </c>
      <c r="P17" s="17">
        <f t="shared" si="3"/>
        <v>613042.73765430739</v>
      </c>
      <c r="Q17" s="17"/>
      <c r="R17" s="17">
        <f t="shared" si="12"/>
        <v>28730.22051905937</v>
      </c>
      <c r="S17" s="17">
        <f t="shared" si="14"/>
        <v>22371.77948094063</v>
      </c>
      <c r="T17" s="17">
        <f t="shared" si="15"/>
        <v>1164431.3517977742</v>
      </c>
      <c r="U17" s="17"/>
      <c r="V17" s="17">
        <f t="shared" si="16"/>
        <v>11154.301009109629</v>
      </c>
      <c r="W17" s="17">
        <f t="shared" si="17"/>
        <v>8964.6989908903706</v>
      </c>
      <c r="X17" s="17">
        <f t="shared" si="18"/>
        <v>501114.21275605436</v>
      </c>
      <c r="Y17" s="17"/>
      <c r="Z17" s="17">
        <f t="shared" si="19"/>
        <v>186381</v>
      </c>
      <c r="AA17" s="17"/>
      <c r="AB17" s="17"/>
      <c r="AC17" s="17"/>
      <c r="AD17" s="17">
        <f>+AVERAGE($Z17:$Z50)</f>
        <v>144197.4705882353</v>
      </c>
      <c r="AF17">
        <v>2027</v>
      </c>
    </row>
    <row r="18" spans="1:32" x14ac:dyDescent="0.25">
      <c r="A18">
        <v>2028</v>
      </c>
      <c r="B18" s="17">
        <f t="shared" si="5"/>
        <v>11490.406624225283</v>
      </c>
      <c r="C18" s="17">
        <f t="shared" si="10"/>
        <v>10873.593375774717</v>
      </c>
      <c r="D18" s="17">
        <f t="shared" si="13"/>
        <v>244358.84927635625</v>
      </c>
      <c r="E18" s="17"/>
      <c r="F18" s="17">
        <f t="shared" si="0"/>
        <v>19118.383308105789</v>
      </c>
      <c r="G18" s="17">
        <f t="shared" si="6"/>
        <v>25560.616691894211</v>
      </c>
      <c r="H18" s="17">
        <f t="shared" si="7"/>
        <v>600532.93043478415</v>
      </c>
      <c r="I18" s="17"/>
      <c r="J18" s="17">
        <f t="shared" si="8"/>
        <v>10752.222139016931</v>
      </c>
      <c r="K18" s="17">
        <f t="shared" si="9"/>
        <v>8221.7778609830693</v>
      </c>
      <c r="L18" s="17">
        <f t="shared" si="11"/>
        <v>318118.89230030577</v>
      </c>
      <c r="M18" s="17"/>
      <c r="N18" s="17">
        <f t="shared" si="1"/>
        <v>17648.448668981735</v>
      </c>
      <c r="O18" s="17">
        <f t="shared" si="2"/>
        <v>11494.551331018263</v>
      </c>
      <c r="P18" s="17">
        <f t="shared" si="3"/>
        <v>595394.28898532561</v>
      </c>
      <c r="Q18" s="17"/>
      <c r="R18" s="17">
        <f t="shared" si="12"/>
        <v>29268.912153791734</v>
      </c>
      <c r="S18" s="17">
        <f t="shared" si="14"/>
        <v>21833.087846208266</v>
      </c>
      <c r="T18" s="17">
        <f t="shared" si="15"/>
        <v>1135162.4396439826</v>
      </c>
      <c r="U18" s="17"/>
      <c r="V18" s="17">
        <f t="shared" si="16"/>
        <v>11349.501276769048</v>
      </c>
      <c r="W18" s="17">
        <f t="shared" si="17"/>
        <v>8769.4987232309522</v>
      </c>
      <c r="X18" s="17">
        <f t="shared" si="18"/>
        <v>489764.71147928532</v>
      </c>
      <c r="Y18" s="17"/>
      <c r="Z18" s="17">
        <f t="shared" si="19"/>
        <v>186381</v>
      </c>
      <c r="AA18" s="17"/>
      <c r="AB18" s="17"/>
      <c r="AC18" s="17"/>
      <c r="AD18" s="17">
        <f>+AVERAGE($Z18:$Z50)</f>
        <v>142919.18181818182</v>
      </c>
      <c r="AF18">
        <v>2028</v>
      </c>
    </row>
    <row r="19" spans="1:32" x14ac:dyDescent="0.25">
      <c r="A19">
        <v>2029</v>
      </c>
      <c r="B19" s="17">
        <f t="shared" si="5"/>
        <v>11978.748905754859</v>
      </c>
      <c r="C19" s="17">
        <f t="shared" si="10"/>
        <v>10385.251094245141</v>
      </c>
      <c r="D19" s="17">
        <f t="shared" si="13"/>
        <v>232380.1003706014</v>
      </c>
      <c r="E19" s="17"/>
      <c r="F19" s="17">
        <f t="shared" si="0"/>
        <v>19907.016619565151</v>
      </c>
      <c r="G19" s="17">
        <f t="shared" si="6"/>
        <v>24771.983380434849</v>
      </c>
      <c r="H19" s="17">
        <f t="shared" si="7"/>
        <v>580625.91381521896</v>
      </c>
      <c r="I19" s="17"/>
      <c r="J19" s="17">
        <f t="shared" si="8"/>
        <v>11021.027692492356</v>
      </c>
      <c r="K19" s="17">
        <f t="shared" si="9"/>
        <v>7952.9723075076445</v>
      </c>
      <c r="L19" s="17">
        <f t="shared" si="11"/>
        <v>307097.86460781342</v>
      </c>
      <c r="M19" s="17"/>
      <c r="N19" s="17">
        <f t="shared" si="1"/>
        <v>17979.357081525144</v>
      </c>
      <c r="O19" s="17">
        <f t="shared" si="2"/>
        <v>11163.642918474854</v>
      </c>
      <c r="P19" s="17">
        <f t="shared" si="3"/>
        <v>577414.93190380046</v>
      </c>
      <c r="Q19" s="17"/>
      <c r="R19" s="17">
        <f t="shared" si="12"/>
        <v>29817.704256675326</v>
      </c>
      <c r="S19" s="17">
        <f t="shared" si="14"/>
        <v>21284.295743324674</v>
      </c>
      <c r="T19" s="17">
        <f t="shared" si="15"/>
        <v>1105344.7353873071</v>
      </c>
      <c r="U19" s="17"/>
      <c r="V19" s="17">
        <f t="shared" si="16"/>
        <v>11548.117549112507</v>
      </c>
      <c r="W19" s="17">
        <f t="shared" si="17"/>
        <v>8570.8824508874932</v>
      </c>
      <c r="X19" s="17">
        <f t="shared" si="18"/>
        <v>478216.59393017279</v>
      </c>
      <c r="Y19" s="17"/>
      <c r="Z19" s="17">
        <f t="shared" si="19"/>
        <v>186381</v>
      </c>
      <c r="AA19" s="17"/>
      <c r="AB19" s="17"/>
      <c r="AC19" s="17"/>
      <c r="AD19" s="17">
        <f>+AVERAGE(Z19:Z50)</f>
        <v>141561</v>
      </c>
      <c r="AF19">
        <v>2029</v>
      </c>
    </row>
    <row r="20" spans="1:32" x14ac:dyDescent="0.25">
      <c r="A20">
        <v>2030</v>
      </c>
      <c r="B20" s="17">
        <f t="shared" si="5"/>
        <v>12487.84573424944</v>
      </c>
      <c r="C20" s="17">
        <f t="shared" si="10"/>
        <v>9876.1542657505597</v>
      </c>
      <c r="D20" s="17">
        <f t="shared" si="13"/>
        <v>219892.25463635195</v>
      </c>
      <c r="E20" s="17"/>
      <c r="F20" s="17">
        <f t="shared" si="0"/>
        <v>20728.181055122215</v>
      </c>
      <c r="G20" s="17">
        <f t="shared" si="6"/>
        <v>23950.818944877785</v>
      </c>
      <c r="H20" s="17">
        <f t="shared" si="7"/>
        <v>559897.73276009678</v>
      </c>
      <c r="I20" s="17"/>
      <c r="J20" s="17">
        <f t="shared" si="8"/>
        <v>11296.553384804665</v>
      </c>
      <c r="K20" s="17">
        <f t="shared" si="9"/>
        <v>7677.4466151953357</v>
      </c>
      <c r="L20" s="17">
        <f t="shared" si="11"/>
        <v>295801.31122300873</v>
      </c>
      <c r="M20" s="17"/>
      <c r="N20" s="17">
        <f t="shared" si="1"/>
        <v>18316.470026803741</v>
      </c>
      <c r="O20" s="17">
        <f t="shared" si="2"/>
        <v>10826.529973196259</v>
      </c>
      <c r="P20" s="17">
        <f t="shared" si="3"/>
        <v>559098.46187699668</v>
      </c>
      <c r="Q20" s="17"/>
      <c r="R20" s="17">
        <f t="shared" si="12"/>
        <v>30376.786211487994</v>
      </c>
      <c r="S20" s="17">
        <f t="shared" si="14"/>
        <v>20725.213788512006</v>
      </c>
      <c r="T20" s="17">
        <f t="shared" si="15"/>
        <v>1074967.9491758191</v>
      </c>
      <c r="U20" s="17"/>
      <c r="V20" s="17">
        <f t="shared" si="16"/>
        <v>11750.209606221975</v>
      </c>
      <c r="W20" s="17">
        <f t="shared" si="17"/>
        <v>8368.7903937780247</v>
      </c>
      <c r="X20" s="17">
        <f t="shared" si="18"/>
        <v>466466.3843239508</v>
      </c>
      <c r="Y20" s="17"/>
      <c r="Z20" s="17">
        <f t="shared" si="19"/>
        <v>186381</v>
      </c>
      <c r="AA20" s="17"/>
      <c r="AB20" s="17"/>
      <c r="AC20" s="17"/>
      <c r="AD20" s="17">
        <f>+AVERAGE(Z20:Z50)</f>
        <v>140115.19354838709</v>
      </c>
      <c r="AF20">
        <v>2030</v>
      </c>
    </row>
    <row r="21" spans="1:32" x14ac:dyDescent="0.25">
      <c r="A21">
        <v>2031</v>
      </c>
      <c r="B21" s="17">
        <f t="shared" si="5"/>
        <v>13018.579177955042</v>
      </c>
      <c r="C21" s="17">
        <f t="shared" si="10"/>
        <v>9345.4208220449582</v>
      </c>
      <c r="D21" s="17">
        <f t="shared" si="13"/>
        <v>206873.6754583969</v>
      </c>
      <c r="E21" s="17"/>
      <c r="F21" s="17">
        <f t="shared" si="0"/>
        <v>21583.218523646006</v>
      </c>
      <c r="G21" s="17">
        <f t="shared" si="6"/>
        <v>23095.781476353994</v>
      </c>
      <c r="H21" s="17">
        <f t="shared" si="7"/>
        <v>538314.51423645078</v>
      </c>
      <c r="I21" s="17"/>
      <c r="J21" s="17">
        <f t="shared" si="8"/>
        <v>11578.967219424781</v>
      </c>
      <c r="K21" s="17">
        <f t="shared" si="9"/>
        <v>7395.0327805752186</v>
      </c>
      <c r="L21" s="17">
        <f t="shared" si="11"/>
        <v>284222.34400358394</v>
      </c>
      <c r="M21" s="17"/>
      <c r="N21" s="17">
        <f t="shared" si="1"/>
        <v>18659.903839806313</v>
      </c>
      <c r="O21" s="17">
        <f t="shared" si="2"/>
        <v>10483.096160193687</v>
      </c>
      <c r="P21" s="17">
        <f t="shared" si="3"/>
        <v>540438.55803719035</v>
      </c>
      <c r="Q21" s="17"/>
      <c r="R21" s="17">
        <f t="shared" si="12"/>
        <v>30946.350952953395</v>
      </c>
      <c r="S21" s="17">
        <f t="shared" si="14"/>
        <v>20155.649047046605</v>
      </c>
      <c r="T21" s="17">
        <f t="shared" si="15"/>
        <v>1044021.5982228656</v>
      </c>
      <c r="U21" s="17"/>
      <c r="V21" s="17">
        <f t="shared" si="16"/>
        <v>11955.838274330861</v>
      </c>
      <c r="W21" s="17">
        <f t="shared" si="17"/>
        <v>8163.1617256691397</v>
      </c>
      <c r="X21" s="17">
        <f t="shared" si="18"/>
        <v>454510.54604961991</v>
      </c>
      <c r="Y21" s="17"/>
      <c r="Z21" s="17">
        <f t="shared" si="19"/>
        <v>186381</v>
      </c>
      <c r="AA21" s="17"/>
      <c r="AB21" s="17"/>
      <c r="AC21" s="17"/>
      <c r="AD21" s="17">
        <f>+AVERAGE(Z21:Z50)</f>
        <v>138573</v>
      </c>
      <c r="AF21">
        <v>2031</v>
      </c>
    </row>
    <row r="22" spans="1:32" x14ac:dyDescent="0.25">
      <c r="A22">
        <v>2032</v>
      </c>
      <c r="B22" s="17">
        <f t="shared" si="5"/>
        <v>13571.868793018131</v>
      </c>
      <c r="C22" s="17">
        <f t="shared" si="10"/>
        <v>8792.1312069818687</v>
      </c>
      <c r="D22" s="17">
        <f t="shared" si="13"/>
        <v>193301.80666537877</v>
      </c>
      <c r="E22" s="17"/>
      <c r="F22" s="17">
        <f t="shared" si="0"/>
        <v>22473.526287746405</v>
      </c>
      <c r="G22" s="17">
        <f t="shared" si="6"/>
        <v>22205.473712253595</v>
      </c>
      <c r="H22" s="17">
        <f t="shared" si="7"/>
        <v>515840.98794870439</v>
      </c>
      <c r="I22" s="17"/>
      <c r="J22" s="17">
        <f t="shared" si="8"/>
        <v>11868.4413999104</v>
      </c>
      <c r="K22" s="17">
        <f t="shared" si="9"/>
        <v>7105.5586000895992</v>
      </c>
      <c r="L22" s="17">
        <f t="shared" si="11"/>
        <v>272353.90260367352</v>
      </c>
      <c r="M22" s="17"/>
      <c r="N22" s="17">
        <f t="shared" si="1"/>
        <v>19009.777036802683</v>
      </c>
      <c r="O22" s="17">
        <f t="shared" si="2"/>
        <v>10133.222963197319</v>
      </c>
      <c r="P22" s="17">
        <f t="shared" si="3"/>
        <v>521428.78100038768</v>
      </c>
      <c r="Q22" s="17"/>
      <c r="R22" s="17">
        <f t="shared" si="12"/>
        <v>31526.595033321271</v>
      </c>
      <c r="S22" s="17">
        <f t="shared" si="14"/>
        <v>19575.404966678729</v>
      </c>
      <c r="T22" s="17">
        <f t="shared" si="15"/>
        <v>1012495.0031895443</v>
      </c>
      <c r="U22" s="17"/>
      <c r="V22" s="17">
        <f t="shared" si="16"/>
        <v>12165.065444131651</v>
      </c>
      <c r="W22" s="17">
        <f t="shared" si="17"/>
        <v>7953.934555868349</v>
      </c>
      <c r="X22" s="17">
        <f t="shared" si="18"/>
        <v>442345.48060548824</v>
      </c>
      <c r="Y22" s="17"/>
      <c r="Z22" s="17">
        <f t="shared" si="19"/>
        <v>186381</v>
      </c>
      <c r="AA22" s="17"/>
      <c r="AB22" s="17"/>
      <c r="AC22" s="17"/>
      <c r="AD22" s="17">
        <f>+AVERAGE(Z22:Z50)</f>
        <v>136924.44827586206</v>
      </c>
      <c r="AF22">
        <v>2032</v>
      </c>
    </row>
    <row r="23" spans="1:32" x14ac:dyDescent="0.25">
      <c r="A23">
        <v>2033</v>
      </c>
      <c r="B23" s="17">
        <f t="shared" si="5"/>
        <v>14148.673216721401</v>
      </c>
      <c r="C23" s="17">
        <f t="shared" si="10"/>
        <v>8215.3267832785987</v>
      </c>
      <c r="D23" s="17">
        <f t="shared" si="13"/>
        <v>179153.13344865738</v>
      </c>
      <c r="E23" s="17"/>
      <c r="F23" s="17">
        <f t="shared" si="0"/>
        <v>23400.559247115943</v>
      </c>
      <c r="G23" s="17">
        <f t="shared" si="6"/>
        <v>21278.440752884057</v>
      </c>
      <c r="H23" s="17">
        <f t="shared" si="7"/>
        <v>492440.42870158848</v>
      </c>
      <c r="I23" s="17"/>
      <c r="J23" s="17">
        <f t="shared" si="8"/>
        <v>12165.152434908163</v>
      </c>
      <c r="K23" s="17">
        <f t="shared" si="9"/>
        <v>6808.8475650918381</v>
      </c>
      <c r="L23" s="17">
        <f t="shared" si="11"/>
        <v>260188.75016876534</v>
      </c>
      <c r="M23" s="17"/>
      <c r="N23" s="17">
        <f t="shared" si="1"/>
        <v>19366.210356242729</v>
      </c>
      <c r="O23" s="17">
        <f t="shared" si="2"/>
        <v>9776.789643757269</v>
      </c>
      <c r="P23" s="17">
        <f t="shared" si="3"/>
        <v>502062.57064414496</v>
      </c>
      <c r="Q23" s="17"/>
      <c r="R23" s="17">
        <f t="shared" si="12"/>
        <v>32117.718690196045</v>
      </c>
      <c r="S23" s="17">
        <f t="shared" si="14"/>
        <v>18984.281309803955</v>
      </c>
      <c r="T23" s="17">
        <f t="shared" si="15"/>
        <v>980377.28449934826</v>
      </c>
      <c r="U23" s="17"/>
      <c r="V23" s="17">
        <f t="shared" si="16"/>
        <v>12377.954089403956</v>
      </c>
      <c r="W23" s="17">
        <f t="shared" si="17"/>
        <v>7741.0459105960445</v>
      </c>
      <c r="X23" s="17">
        <f t="shared" si="18"/>
        <v>429967.52651608427</v>
      </c>
      <c r="Y23" s="17"/>
      <c r="Z23" s="17">
        <f t="shared" si="19"/>
        <v>186381</v>
      </c>
      <c r="AA23" s="17"/>
      <c r="AB23" s="17"/>
      <c r="AC23" s="17"/>
      <c r="AD23" s="17">
        <f>+AVERAGE(Z23:Z50)</f>
        <v>135158.14285714287</v>
      </c>
      <c r="AF23">
        <v>2033</v>
      </c>
    </row>
    <row r="24" spans="1:32" x14ac:dyDescent="0.25">
      <c r="A24">
        <v>2034</v>
      </c>
      <c r="B24" s="17">
        <f t="shared" si="5"/>
        <v>14749.991828432061</v>
      </c>
      <c r="C24" s="17">
        <f t="shared" si="10"/>
        <v>7614.0081715679389</v>
      </c>
      <c r="D24" s="17">
        <f t="shared" si="13"/>
        <v>164403.1416202253</v>
      </c>
      <c r="E24" s="17"/>
      <c r="F24" s="17">
        <f t="shared" si="0"/>
        <v>24365.832316059474</v>
      </c>
      <c r="G24" s="17">
        <f t="shared" si="6"/>
        <v>20313.167683940526</v>
      </c>
      <c r="H24" s="17">
        <f t="shared" si="7"/>
        <v>468074.59638552903</v>
      </c>
      <c r="I24" s="17"/>
      <c r="J24" s="17">
        <f t="shared" si="8"/>
        <v>12469.281245780865</v>
      </c>
      <c r="K24" s="17">
        <f t="shared" si="9"/>
        <v>6504.7187542191341</v>
      </c>
      <c r="L24" s="17">
        <f t="shared" si="11"/>
        <v>247719.46892298447</v>
      </c>
      <c r="M24" s="17"/>
      <c r="N24" s="17">
        <f t="shared" si="1"/>
        <v>19729.326800422285</v>
      </c>
      <c r="O24" s="17">
        <f t="shared" si="2"/>
        <v>9413.6731995777172</v>
      </c>
      <c r="P24" s="17">
        <f t="shared" si="3"/>
        <v>482333.24384372268</v>
      </c>
      <c r="Q24" s="17"/>
      <c r="R24" s="17">
        <f t="shared" si="12"/>
        <v>32719.925915637221</v>
      </c>
      <c r="S24" s="17">
        <f t="shared" si="14"/>
        <v>18382.074084362779</v>
      </c>
      <c r="T24" s="17">
        <f t="shared" si="15"/>
        <v>947657.35858371109</v>
      </c>
      <c r="U24" s="17"/>
      <c r="V24" s="17">
        <f t="shared" si="16"/>
        <v>12594.568285968526</v>
      </c>
      <c r="W24" s="17">
        <f t="shared" si="17"/>
        <v>7524.4317140314752</v>
      </c>
      <c r="X24" s="17">
        <f t="shared" si="18"/>
        <v>417372.95823011576</v>
      </c>
      <c r="Y24" s="17"/>
      <c r="Z24" s="17">
        <f t="shared" si="19"/>
        <v>186381</v>
      </c>
      <c r="AA24" s="17"/>
      <c r="AB24" s="17"/>
      <c r="AC24" s="17"/>
      <c r="AD24" s="17">
        <f>+AVERAGE(Z24:Z50)</f>
        <v>133261</v>
      </c>
      <c r="AF24">
        <v>2034</v>
      </c>
    </row>
    <row r="25" spans="1:32" x14ac:dyDescent="0.25">
      <c r="A25">
        <v>2035</v>
      </c>
      <c r="B25" s="17">
        <f t="shared" si="5"/>
        <v>15376.866481140423</v>
      </c>
      <c r="C25" s="17">
        <f t="shared" si="10"/>
        <v>6987.1335188595758</v>
      </c>
      <c r="D25" s="17">
        <f t="shared" si="13"/>
        <v>149026.27513908487</v>
      </c>
      <c r="E25" s="17"/>
      <c r="F25" s="17">
        <f t="shared" si="0"/>
        <v>25370.922899096928</v>
      </c>
      <c r="G25" s="17">
        <f t="shared" si="6"/>
        <v>19308.077100903072</v>
      </c>
      <c r="H25" s="17">
        <f t="shared" si="7"/>
        <v>442703.67348643212</v>
      </c>
      <c r="I25" s="17"/>
      <c r="J25" s="17">
        <f t="shared" si="8"/>
        <v>12781.013276925387</v>
      </c>
      <c r="K25" s="17">
        <f t="shared" si="9"/>
        <v>6192.9867230746122</v>
      </c>
      <c r="L25" s="17">
        <f t="shared" si="11"/>
        <v>234938.45564605907</v>
      </c>
      <c r="M25" s="17"/>
      <c r="N25" s="17">
        <f t="shared" si="1"/>
        <v>20099.251677930202</v>
      </c>
      <c r="O25" s="17">
        <f t="shared" si="2"/>
        <v>9043.7483220697995</v>
      </c>
      <c r="P25" s="17">
        <f t="shared" si="3"/>
        <v>462233.9921657925</v>
      </c>
      <c r="Q25" s="17"/>
      <c r="R25" s="17">
        <f t="shared" si="12"/>
        <v>33333.42452655542</v>
      </c>
      <c r="S25" s="17">
        <f t="shared" si="14"/>
        <v>17768.575473444584</v>
      </c>
      <c r="T25" s="17">
        <f t="shared" si="15"/>
        <v>914323.93405715562</v>
      </c>
      <c r="U25" s="17"/>
      <c r="V25" s="17">
        <f t="shared" si="16"/>
        <v>12814.973230972973</v>
      </c>
      <c r="W25" s="17">
        <f t="shared" si="17"/>
        <v>7304.0267690270266</v>
      </c>
      <c r="X25" s="17">
        <f t="shared" si="18"/>
        <v>404557.98499914282</v>
      </c>
      <c r="Y25" s="17"/>
      <c r="Z25" s="17">
        <f t="shared" si="19"/>
        <v>186381</v>
      </c>
      <c r="AA25" s="17"/>
      <c r="AB25" s="17"/>
      <c r="AC25" s="17"/>
      <c r="AD25" s="17">
        <f>+AVERAGE(Z25:Z50)</f>
        <v>131217.92307692306</v>
      </c>
      <c r="AF25">
        <v>2035</v>
      </c>
    </row>
    <row r="26" spans="1:32" x14ac:dyDescent="0.25">
      <c r="A26">
        <v>2036</v>
      </c>
      <c r="B26" s="17">
        <f t="shared" si="5"/>
        <v>16030.383306588892</v>
      </c>
      <c r="C26" s="17">
        <f t="shared" si="10"/>
        <v>6333.6166934111079</v>
      </c>
      <c r="D26" s="17">
        <f t="shared" si="13"/>
        <v>132995.89183249598</v>
      </c>
      <c r="E26" s="17"/>
      <c r="F26" s="17">
        <f t="shared" si="0"/>
        <v>26417.473468684675</v>
      </c>
      <c r="G26" s="17">
        <f t="shared" si="6"/>
        <v>18261.526531315325</v>
      </c>
      <c r="H26" s="17">
        <f t="shared" si="7"/>
        <v>416286.20001774747</v>
      </c>
      <c r="I26" s="17"/>
      <c r="J26" s="17">
        <f t="shared" si="8"/>
        <v>13100.538608848523</v>
      </c>
      <c r="K26" s="17">
        <f t="shared" si="9"/>
        <v>5873.4613911514771</v>
      </c>
      <c r="L26" s="17">
        <f t="shared" si="11"/>
        <v>221837.91703721054</v>
      </c>
      <c r="M26" s="17"/>
      <c r="N26" s="17">
        <f t="shared" si="1"/>
        <v>20476.112646891394</v>
      </c>
      <c r="O26" s="17">
        <f t="shared" si="2"/>
        <v>8666.8873531086083</v>
      </c>
      <c r="P26" s="17">
        <f t="shared" si="3"/>
        <v>441757.87951890111</v>
      </c>
      <c r="Q26" s="17"/>
      <c r="R26" s="17">
        <f t="shared" si="12"/>
        <v>33958.426236428335</v>
      </c>
      <c r="S26" s="17">
        <f t="shared" si="14"/>
        <v>17143.573763571669</v>
      </c>
      <c r="T26" s="17">
        <f t="shared" si="15"/>
        <v>880365.5078207273</v>
      </c>
      <c r="U26" s="17"/>
      <c r="V26" s="17">
        <f t="shared" si="16"/>
        <v>13039.235262515</v>
      </c>
      <c r="W26" s="17">
        <f t="shared" si="17"/>
        <v>7079.7647374850003</v>
      </c>
      <c r="X26" s="17">
        <f t="shared" si="18"/>
        <v>391518.7497366278</v>
      </c>
      <c r="Y26" s="17"/>
      <c r="Z26" s="17">
        <f t="shared" si="19"/>
        <v>186381</v>
      </c>
      <c r="AA26" s="17"/>
      <c r="AB26" s="17"/>
      <c r="AC26" s="17"/>
      <c r="AD26" s="17">
        <f>+AVERAGE(Z26:Z50)</f>
        <v>129011.4</v>
      </c>
      <c r="AF26">
        <v>2036</v>
      </c>
    </row>
    <row r="27" spans="1:32" x14ac:dyDescent="0.25">
      <c r="A27">
        <v>2037</v>
      </c>
      <c r="B27" s="17">
        <f t="shared" si="5"/>
        <v>16711.674597118919</v>
      </c>
      <c r="C27" s="17">
        <f t="shared" si="10"/>
        <v>5652.3254028810798</v>
      </c>
      <c r="D27" s="17">
        <f t="shared" si="13"/>
        <v>116284.21723537706</v>
      </c>
      <c r="E27" s="17"/>
      <c r="F27" s="17">
        <f t="shared" si="0"/>
        <v>27507.194249267915</v>
      </c>
      <c r="G27" s="17">
        <f t="shared" si="6"/>
        <v>17171.805750732085</v>
      </c>
      <c r="H27" s="17">
        <f t="shared" si="7"/>
        <v>388779.00576847955</v>
      </c>
      <c r="I27" s="17"/>
      <c r="J27" s="17">
        <f t="shared" si="8"/>
        <v>13428.052074069736</v>
      </c>
      <c r="K27" s="17">
        <f t="shared" si="9"/>
        <v>5545.9479259302643</v>
      </c>
      <c r="L27" s="17">
        <f t="shared" si="11"/>
        <v>208409.8649631408</v>
      </c>
      <c r="M27" s="17"/>
      <c r="N27" s="17">
        <f t="shared" si="1"/>
        <v>20860.039759020605</v>
      </c>
      <c r="O27" s="17">
        <f t="shared" si="2"/>
        <v>8282.9602409793952</v>
      </c>
      <c r="P27" s="17">
        <f t="shared" si="3"/>
        <v>420897.8397598805</v>
      </c>
      <c r="Q27" s="17"/>
      <c r="R27" s="17">
        <f t="shared" si="12"/>
        <v>34595.14672836136</v>
      </c>
      <c r="S27" s="17">
        <f t="shared" si="14"/>
        <v>16506.853271638636</v>
      </c>
      <c r="T27" s="17">
        <f t="shared" si="15"/>
        <v>845770.36109236593</v>
      </c>
      <c r="U27" s="17"/>
      <c r="V27" s="17">
        <f t="shared" si="16"/>
        <v>13267.421879609014</v>
      </c>
      <c r="W27" s="17">
        <f t="shared" si="17"/>
        <v>6851.5781203909874</v>
      </c>
      <c r="X27" s="17">
        <f t="shared" si="18"/>
        <v>378251.3278570188</v>
      </c>
      <c r="Y27" s="17"/>
      <c r="Z27" s="17">
        <f t="shared" si="19"/>
        <v>186381</v>
      </c>
      <c r="AA27" s="17"/>
      <c r="AB27" s="17"/>
      <c r="AC27" s="17"/>
      <c r="AD27" s="17">
        <f>+AVERAGE(Z27:Z50)</f>
        <v>126621</v>
      </c>
      <c r="AF27">
        <v>2037</v>
      </c>
    </row>
    <row r="28" spans="1:32" x14ac:dyDescent="0.25">
      <c r="A28">
        <v>2038</v>
      </c>
      <c r="B28" s="17">
        <f t="shared" si="5"/>
        <v>17421.920767496475</v>
      </c>
      <c r="C28" s="17">
        <f t="shared" si="10"/>
        <v>4942.0792325035254</v>
      </c>
      <c r="D28" s="17">
        <f t="shared" si="13"/>
        <v>98862.296467880587</v>
      </c>
      <c r="E28" s="17"/>
      <c r="F28" s="17">
        <f t="shared" si="0"/>
        <v>28641.866012050217</v>
      </c>
      <c r="G28" s="17">
        <f t="shared" si="6"/>
        <v>16037.133987949783</v>
      </c>
      <c r="H28" s="17">
        <f t="shared" si="7"/>
        <v>360137.13975642936</v>
      </c>
      <c r="I28" s="17"/>
      <c r="J28" s="17">
        <f t="shared" si="8"/>
        <v>13763.753375921478</v>
      </c>
      <c r="K28" s="17">
        <f t="shared" si="9"/>
        <v>5210.2466240785207</v>
      </c>
      <c r="L28" s="17">
        <f t="shared" si="11"/>
        <v>194646.11158721932</v>
      </c>
      <c r="M28" s="17"/>
      <c r="N28" s="17">
        <f t="shared" si="1"/>
        <v>21251.165504502242</v>
      </c>
      <c r="O28" s="17">
        <f t="shared" si="2"/>
        <v>7891.8344954977592</v>
      </c>
      <c r="P28" s="17">
        <f t="shared" si="3"/>
        <v>399646.67425537825</v>
      </c>
      <c r="Q28" s="17"/>
      <c r="R28" s="17">
        <f t="shared" si="12"/>
        <v>35243.805729518135</v>
      </c>
      <c r="S28" s="17">
        <f t="shared" si="14"/>
        <v>15858.194270481861</v>
      </c>
      <c r="T28" s="17">
        <f t="shared" si="15"/>
        <v>810526.55536284775</v>
      </c>
      <c r="U28" s="17"/>
      <c r="V28" s="17">
        <f t="shared" si="16"/>
        <v>13499.60176250217</v>
      </c>
      <c r="W28" s="17">
        <f t="shared" si="17"/>
        <v>6619.3982374978295</v>
      </c>
      <c r="X28" s="17">
        <f t="shared" si="18"/>
        <v>364751.72609451663</v>
      </c>
      <c r="Y28" s="17"/>
      <c r="Z28" s="17">
        <f t="shared" si="19"/>
        <v>186381</v>
      </c>
      <c r="AA28" s="17"/>
      <c r="AB28" s="17"/>
      <c r="AC28" s="17"/>
      <c r="AD28" s="17">
        <f>+AVERAGE(Z28:Z50)</f>
        <v>124022.73913043478</v>
      </c>
      <c r="AF28">
        <v>2038</v>
      </c>
    </row>
    <row r="29" spans="1:32" x14ac:dyDescent="0.25">
      <c r="A29">
        <v>2039</v>
      </c>
      <c r="B29" s="17">
        <f t="shared" si="5"/>
        <v>18162.352400115073</v>
      </c>
      <c r="C29" s="17">
        <f t="shared" si="10"/>
        <v>4201.6475998849255</v>
      </c>
      <c r="D29" s="17">
        <f t="shared" si="13"/>
        <v>80699.944067765522</v>
      </c>
      <c r="E29" s="17"/>
      <c r="F29" s="17">
        <f t="shared" si="0"/>
        <v>29823.342985047289</v>
      </c>
      <c r="G29" s="17">
        <f t="shared" si="6"/>
        <v>14855.657014952712</v>
      </c>
      <c r="H29" s="17">
        <f t="shared" si="7"/>
        <v>330313.7967713821</v>
      </c>
      <c r="I29" s="17"/>
      <c r="J29" s="17">
        <f t="shared" si="8"/>
        <v>14107.847210319516</v>
      </c>
      <c r="K29" s="17">
        <f t="shared" si="9"/>
        <v>4866.1527896804828</v>
      </c>
      <c r="L29" s="17">
        <f t="shared" si="11"/>
        <v>180538.26437689981</v>
      </c>
      <c r="M29" s="17"/>
      <c r="N29" s="17">
        <f t="shared" si="1"/>
        <v>21649.624857711657</v>
      </c>
      <c r="O29" s="17">
        <f t="shared" si="2"/>
        <v>7493.3751422883415</v>
      </c>
      <c r="P29" s="17">
        <f t="shared" si="3"/>
        <v>377997.04939766659</v>
      </c>
      <c r="Q29" s="17"/>
      <c r="R29" s="17">
        <f t="shared" si="12"/>
        <v>35904.62708694661</v>
      </c>
      <c r="S29" s="17">
        <f t="shared" si="14"/>
        <v>15197.372913053394</v>
      </c>
      <c r="T29" s="17">
        <f t="shared" si="15"/>
        <v>774621.92827590113</v>
      </c>
      <c r="U29" s="17"/>
      <c r="V29" s="17">
        <f t="shared" si="16"/>
        <v>13735.844793345957</v>
      </c>
      <c r="W29" s="17">
        <f t="shared" si="17"/>
        <v>6383.1552066540416</v>
      </c>
      <c r="X29" s="17">
        <f t="shared" si="18"/>
        <v>351015.88130117068</v>
      </c>
      <c r="Y29" s="17"/>
      <c r="Z29" s="17">
        <f t="shared" si="19"/>
        <v>186381</v>
      </c>
      <c r="AA29" s="17"/>
      <c r="AB29" s="17"/>
      <c r="AC29" s="17"/>
      <c r="AD29" s="17">
        <f>+AVERAGE(Z29:Z50)</f>
        <v>121188.27272727272</v>
      </c>
      <c r="AF29">
        <v>2039</v>
      </c>
    </row>
    <row r="30" spans="1:32" x14ac:dyDescent="0.25">
      <c r="A30">
        <v>2040</v>
      </c>
      <c r="B30" s="17">
        <f t="shared" si="5"/>
        <v>18934.252377119963</v>
      </c>
      <c r="C30" s="17">
        <f t="shared" si="10"/>
        <v>3429.7476228800351</v>
      </c>
      <c r="D30" s="17">
        <f t="shared" si="13"/>
        <v>61765.691690645559</v>
      </c>
      <c r="E30" s="17"/>
      <c r="F30" s="17">
        <f t="shared" si="0"/>
        <v>31053.555883180488</v>
      </c>
      <c r="G30" s="17">
        <f t="shared" si="6"/>
        <v>13625.444116819512</v>
      </c>
      <c r="H30" s="17">
        <f t="shared" si="7"/>
        <v>299260.24088820163</v>
      </c>
      <c r="I30" s="17"/>
      <c r="J30" s="17">
        <f t="shared" si="8"/>
        <v>14460.543390577504</v>
      </c>
      <c r="K30" s="17">
        <f t="shared" si="9"/>
        <v>4513.4566094224956</v>
      </c>
      <c r="L30" s="17">
        <f t="shared" si="11"/>
        <v>166077.7209863223</v>
      </c>
      <c r="M30" s="17"/>
      <c r="N30" s="17">
        <f t="shared" si="1"/>
        <v>22055.555323793753</v>
      </c>
      <c r="O30" s="17">
        <f t="shared" si="2"/>
        <v>7087.444676206248</v>
      </c>
      <c r="P30" s="17">
        <f t="shared" si="3"/>
        <v>355941.49407387286</v>
      </c>
      <c r="Q30" s="17"/>
      <c r="R30" s="17">
        <f t="shared" si="12"/>
        <v>36577.838844826852</v>
      </c>
      <c r="S30" s="17">
        <f t="shared" si="14"/>
        <v>14524.161155173146</v>
      </c>
      <c r="T30" s="17">
        <f t="shared" si="15"/>
        <v>738044.08943107422</v>
      </c>
      <c r="U30" s="17"/>
      <c r="V30" s="17">
        <f t="shared" si="16"/>
        <v>13976.222077229511</v>
      </c>
      <c r="W30" s="17">
        <f t="shared" si="17"/>
        <v>6142.7779227704877</v>
      </c>
      <c r="X30" s="17">
        <f t="shared" si="18"/>
        <v>337039.65922394115</v>
      </c>
      <c r="Y30" s="17"/>
      <c r="Z30" s="17">
        <f t="shared" si="19"/>
        <v>186381</v>
      </c>
      <c r="AA30" s="17"/>
      <c r="AB30" s="17"/>
      <c r="AC30" s="17"/>
      <c r="AD30" s="17">
        <f>+AVERAGE(Z30:Z50)</f>
        <v>118083.85714285714</v>
      </c>
      <c r="AF30">
        <v>2040</v>
      </c>
    </row>
    <row r="31" spans="1:32" x14ac:dyDescent="0.25">
      <c r="A31">
        <v>2041</v>
      </c>
      <c r="B31" s="17">
        <f t="shared" si="5"/>
        <v>19738.958103147565</v>
      </c>
      <c r="C31" s="17">
        <f t="shared" si="10"/>
        <v>2625.0418968524364</v>
      </c>
      <c r="D31" s="17">
        <f t="shared" si="13"/>
        <v>42026.733587497991</v>
      </c>
      <c r="E31" s="17"/>
      <c r="F31" s="17">
        <f t="shared" si="0"/>
        <v>32334.515063361679</v>
      </c>
      <c r="G31" s="17">
        <f t="shared" si="6"/>
        <v>12344.484936638319</v>
      </c>
      <c r="H31" s="17">
        <f t="shared" si="7"/>
        <v>266925.72582483996</v>
      </c>
      <c r="I31" s="17"/>
      <c r="J31" s="17">
        <f t="shared" si="8"/>
        <v>14822.056975341942</v>
      </c>
      <c r="K31" s="17">
        <f t="shared" si="9"/>
        <v>4151.9430246580578</v>
      </c>
      <c r="L31" s="17">
        <f t="shared" si="11"/>
        <v>151255.66401098034</v>
      </c>
      <c r="M31" s="17"/>
      <c r="N31" s="17">
        <f t="shared" si="1"/>
        <v>22469.096986114884</v>
      </c>
      <c r="O31" s="17">
        <f t="shared" si="2"/>
        <v>6673.9030138851158</v>
      </c>
      <c r="P31" s="17">
        <f t="shared" si="3"/>
        <v>333472.397087758</v>
      </c>
      <c r="Q31" s="17"/>
      <c r="R31" s="17">
        <f t="shared" si="12"/>
        <v>37263.673323167357</v>
      </c>
      <c r="S31" s="17">
        <f t="shared" si="14"/>
        <v>13838.326676832641</v>
      </c>
      <c r="T31" s="17">
        <f t="shared" si="15"/>
        <v>700780.41610790684</v>
      </c>
      <c r="U31" s="17"/>
      <c r="V31" s="17">
        <f t="shared" si="16"/>
        <v>14220.80596358103</v>
      </c>
      <c r="W31" s="17">
        <f t="shared" si="17"/>
        <v>5898.1940364189704</v>
      </c>
      <c r="X31" s="17">
        <f t="shared" si="18"/>
        <v>322818.85326036013</v>
      </c>
      <c r="Y31" s="17"/>
      <c r="Z31" s="17">
        <f t="shared" si="19"/>
        <v>186381</v>
      </c>
      <c r="AA31" s="17"/>
      <c r="AB31" s="17"/>
      <c r="AC31" s="17"/>
      <c r="AD31" s="17">
        <f>+AVERAGE(Z31:Z50)</f>
        <v>114669</v>
      </c>
      <c r="AF31">
        <v>2041</v>
      </c>
    </row>
    <row r="32" spans="1:32" x14ac:dyDescent="0.25">
      <c r="A32">
        <v>2042</v>
      </c>
      <c r="B32" s="17">
        <f t="shared" si="5"/>
        <v>20577.863822531333</v>
      </c>
      <c r="C32" s="17">
        <f t="shared" si="10"/>
        <v>1786.1361774686648</v>
      </c>
      <c r="D32" s="17">
        <f t="shared" si="13"/>
        <v>21448.869764966657</v>
      </c>
      <c r="E32" s="17"/>
      <c r="F32" s="17">
        <f t="shared" si="0"/>
        <v>33668.313809725354</v>
      </c>
      <c r="G32" s="17">
        <f t="shared" si="6"/>
        <v>11010.68619027465</v>
      </c>
      <c r="H32" s="17">
        <f t="shared" si="7"/>
        <v>233257.41201511462</v>
      </c>
      <c r="I32" s="17"/>
      <c r="J32" s="17">
        <f t="shared" si="8"/>
        <v>15192.608399725492</v>
      </c>
      <c r="K32" s="17">
        <f t="shared" si="9"/>
        <v>3781.3916002745086</v>
      </c>
      <c r="L32" s="17">
        <f t="shared" si="11"/>
        <v>136063.05561125485</v>
      </c>
      <c r="M32" s="17"/>
      <c r="N32" s="17">
        <f t="shared" si="1"/>
        <v>22890.392554604536</v>
      </c>
      <c r="O32" s="17">
        <f t="shared" si="2"/>
        <v>6252.6074453954625</v>
      </c>
      <c r="P32" s="17">
        <f t="shared" si="3"/>
        <v>310582.00453315349</v>
      </c>
      <c r="Q32" s="17"/>
      <c r="R32" s="17">
        <f t="shared" si="12"/>
        <v>37962.367197976746</v>
      </c>
      <c r="S32" s="17">
        <f t="shared" si="14"/>
        <v>13139.632802023252</v>
      </c>
      <c r="T32" s="17">
        <f t="shared" si="15"/>
        <v>662818.04890993005</v>
      </c>
      <c r="U32" s="17"/>
      <c r="V32" s="17">
        <f t="shared" si="16"/>
        <v>14469.670067943698</v>
      </c>
      <c r="W32" s="17">
        <f t="shared" si="17"/>
        <v>5649.3299320563028</v>
      </c>
      <c r="X32" s="17">
        <f t="shared" si="18"/>
        <v>308349.18319241644</v>
      </c>
      <c r="Y32" s="17"/>
      <c r="Z32" s="17">
        <f t="shared" si="19"/>
        <v>186381</v>
      </c>
      <c r="AA32" s="17"/>
      <c r="AB32" s="17"/>
      <c r="AC32" s="17"/>
      <c r="AD32" s="17">
        <f>+AVERAGE(Z32:Z50)</f>
        <v>110894.68421052632</v>
      </c>
      <c r="AF32">
        <v>2042</v>
      </c>
    </row>
    <row r="33" spans="1:32" x14ac:dyDescent="0.25">
      <c r="A33">
        <v>2043</v>
      </c>
      <c r="B33" s="17">
        <f t="shared" si="5"/>
        <v>21452.423034988919</v>
      </c>
      <c r="C33" s="17">
        <f>0.0425*D32</f>
        <v>911.57696501108296</v>
      </c>
      <c r="D33" s="17">
        <f t="shared" si="13"/>
        <v>-3.5532700222611311</v>
      </c>
      <c r="E33" s="17"/>
      <c r="F33" s="17">
        <f t="shared" si="0"/>
        <v>35057.131754376518</v>
      </c>
      <c r="G33" s="17">
        <f t="shared" si="6"/>
        <v>9621.8682456234783</v>
      </c>
      <c r="H33" s="17">
        <f t="shared" si="7"/>
        <v>198200.2802607381</v>
      </c>
      <c r="I33" s="17"/>
      <c r="J33" s="17">
        <f t="shared" si="8"/>
        <v>15572.423609718629</v>
      </c>
      <c r="K33" s="17">
        <f t="shared" si="9"/>
        <v>3401.5763902813715</v>
      </c>
      <c r="L33" s="17">
        <f t="shared" si="11"/>
        <v>120490.63200153623</v>
      </c>
      <c r="M33" s="17"/>
      <c r="N33" s="17">
        <f t="shared" si="1"/>
        <v>23319.587415003371</v>
      </c>
      <c r="O33" s="17">
        <f t="shared" si="2"/>
        <v>5823.4125849966276</v>
      </c>
      <c r="P33" s="17">
        <f t="shared" si="3"/>
        <v>287262.4171181501</v>
      </c>
      <c r="Q33" s="17"/>
      <c r="R33" s="17">
        <f t="shared" si="12"/>
        <v>38674.16158293881</v>
      </c>
      <c r="S33" s="17">
        <f t="shared" si="14"/>
        <v>12427.838417061188</v>
      </c>
      <c r="T33" s="17">
        <f t="shared" si="15"/>
        <v>624143.88732699119</v>
      </c>
      <c r="U33" s="17"/>
      <c r="V33" s="17">
        <f t="shared" si="16"/>
        <v>14722.889294132712</v>
      </c>
      <c r="W33" s="17">
        <f t="shared" si="17"/>
        <v>5396.1107058672878</v>
      </c>
      <c r="X33" s="17">
        <f t="shared" si="18"/>
        <v>293626.29389828374</v>
      </c>
      <c r="Y33" s="17"/>
      <c r="Z33" s="17">
        <f t="shared" si="19"/>
        <v>186381</v>
      </c>
      <c r="AA33" s="17"/>
      <c r="AB33" s="17"/>
      <c r="AC33" s="17"/>
      <c r="AD33" s="17">
        <f>+AVERAGE(Z20:Z33)</f>
        <v>186381</v>
      </c>
      <c r="AF33">
        <v>2043</v>
      </c>
    </row>
    <row r="34" spans="1:32" x14ac:dyDescent="0.25">
      <c r="A34">
        <v>2044</v>
      </c>
      <c r="B34" s="17"/>
      <c r="C34" s="17"/>
      <c r="D34" s="17"/>
      <c r="E34" s="17"/>
      <c r="F34" s="17">
        <f t="shared" si="0"/>
        <v>36503.238439244553</v>
      </c>
      <c r="G34" s="17">
        <f t="shared" si="6"/>
        <v>8175.7615607554471</v>
      </c>
      <c r="H34" s="17">
        <f t="shared" si="7"/>
        <v>161697.04182149353</v>
      </c>
      <c r="I34" s="17"/>
      <c r="J34" s="17">
        <f t="shared" si="8"/>
        <v>15961.734199961595</v>
      </c>
      <c r="K34" s="17">
        <f t="shared" si="9"/>
        <v>3012.2658000384058</v>
      </c>
      <c r="L34" s="17">
        <f t="shared" si="11"/>
        <v>104528.89780157464</v>
      </c>
      <c r="M34" s="17"/>
      <c r="N34" s="17">
        <f t="shared" si="1"/>
        <v>23756.829679034687</v>
      </c>
      <c r="O34" s="17">
        <f t="shared" si="2"/>
        <v>5386.1703209653142</v>
      </c>
      <c r="P34" s="17">
        <f t="shared" si="3"/>
        <v>263505.58743911539</v>
      </c>
      <c r="Q34" s="17"/>
      <c r="R34" s="17">
        <f t="shared" si="12"/>
        <v>39399.302112618912</v>
      </c>
      <c r="S34" s="17">
        <f t="shared" si="14"/>
        <v>11702.697887381084</v>
      </c>
      <c r="T34" s="17">
        <f t="shared" si="15"/>
        <v>584744.58521437226</v>
      </c>
      <c r="U34" s="17"/>
      <c r="V34" s="17">
        <f t="shared" si="16"/>
        <v>14980.539856780033</v>
      </c>
      <c r="W34" s="17">
        <f t="shared" si="17"/>
        <v>5138.4601432199661</v>
      </c>
      <c r="X34" s="17">
        <f t="shared" si="18"/>
        <v>278645.75404150371</v>
      </c>
      <c r="Y34" s="17"/>
      <c r="Z34" s="17">
        <f t="shared" si="19"/>
        <v>164017</v>
      </c>
      <c r="AA34" s="17"/>
      <c r="AB34" s="17"/>
      <c r="AC34" s="17"/>
      <c r="AD34" s="17">
        <f>+AVERAGE(Z34:Z50)</f>
        <v>102013.94117647059</v>
      </c>
      <c r="AF34">
        <v>2044</v>
      </c>
    </row>
    <row r="35" spans="1:32" x14ac:dyDescent="0.25">
      <c r="A35">
        <v>2045</v>
      </c>
      <c r="B35" s="17"/>
      <c r="C35" s="17"/>
      <c r="D35" s="17"/>
      <c r="E35" s="17"/>
      <c r="F35" s="17">
        <f t="shared" si="0"/>
        <v>38008.997024863391</v>
      </c>
      <c r="G35" s="17">
        <f t="shared" si="6"/>
        <v>6670.0029751366083</v>
      </c>
      <c r="H35" s="17">
        <f t="shared" si="7"/>
        <v>123688.04479663014</v>
      </c>
      <c r="I35" s="17"/>
      <c r="J35" s="17">
        <f t="shared" si="8"/>
        <v>16360.777554960634</v>
      </c>
      <c r="K35" s="17">
        <f t="shared" si="9"/>
        <v>2613.222445039366</v>
      </c>
      <c r="L35" s="17">
        <f t="shared" si="11"/>
        <v>88168.120246614009</v>
      </c>
      <c r="M35" s="17"/>
      <c r="N35" s="17">
        <f t="shared" si="1"/>
        <v>24202.270235516586</v>
      </c>
      <c r="O35" s="17">
        <f t="shared" si="2"/>
        <v>4940.7297644834134</v>
      </c>
      <c r="P35" s="17">
        <f t="shared" si="3"/>
        <v>239303.3172035988</v>
      </c>
      <c r="Q35" s="17"/>
      <c r="R35" s="17">
        <f t="shared" si="12"/>
        <v>40138.039027230523</v>
      </c>
      <c r="S35" s="17">
        <f t="shared" si="14"/>
        <v>10963.960972769479</v>
      </c>
      <c r="T35" s="17">
        <f t="shared" si="15"/>
        <v>544606.54618714168</v>
      </c>
      <c r="U35" s="17"/>
      <c r="V35" s="17">
        <f t="shared" si="16"/>
        <v>15242.699304273685</v>
      </c>
      <c r="W35" s="17">
        <f t="shared" si="17"/>
        <v>4876.3006957263151</v>
      </c>
      <c r="X35" s="17">
        <f t="shared" si="18"/>
        <v>263403.05473723001</v>
      </c>
      <c r="Y35" s="17"/>
      <c r="Z35" s="17">
        <f t="shared" si="19"/>
        <v>164017</v>
      </c>
      <c r="AA35" s="17"/>
      <c r="AB35" s="17"/>
      <c r="AC35" s="17"/>
      <c r="AD35" s="17">
        <f>+AVERAGE(Z35:Z50)</f>
        <v>98138.75</v>
      </c>
      <c r="AF35">
        <v>2045</v>
      </c>
    </row>
    <row r="36" spans="1:32" x14ac:dyDescent="0.25">
      <c r="A36">
        <v>2046</v>
      </c>
      <c r="B36" s="17"/>
      <c r="C36" s="17"/>
      <c r="D36" s="17"/>
      <c r="E36" s="17"/>
      <c r="F36" s="17">
        <f t="shared" si="0"/>
        <v>39576.86815213901</v>
      </c>
      <c r="G36" s="17">
        <f t="shared" si="6"/>
        <v>5102.1318478609937</v>
      </c>
      <c r="H36" s="17">
        <f t="shared" si="7"/>
        <v>84111.176644491134</v>
      </c>
      <c r="I36" s="17"/>
      <c r="J36" s="17">
        <f t="shared" si="8"/>
        <v>16769.79699383465</v>
      </c>
      <c r="K36" s="17">
        <f t="shared" si="9"/>
        <v>2204.2030061653504</v>
      </c>
      <c r="L36" s="17">
        <f t="shared" si="11"/>
        <v>71398.323252779359</v>
      </c>
      <c r="M36" s="17"/>
      <c r="N36" s="17">
        <f t="shared" si="1"/>
        <v>24656.062802432523</v>
      </c>
      <c r="O36" s="17">
        <f t="shared" si="2"/>
        <v>4486.9371975674776</v>
      </c>
      <c r="P36" s="17">
        <f t="shared" si="3"/>
        <v>214647.25440116628</v>
      </c>
      <c r="Q36" s="17"/>
      <c r="R36" s="17">
        <f t="shared" si="12"/>
        <v>40890.627258991095</v>
      </c>
      <c r="S36" s="17">
        <f t="shared" si="14"/>
        <v>10211.372741008907</v>
      </c>
      <c r="T36" s="17">
        <f t="shared" si="15"/>
        <v>503715.91892815055</v>
      </c>
      <c r="U36" s="17"/>
      <c r="V36" s="17">
        <f t="shared" si="16"/>
        <v>15509.446542098474</v>
      </c>
      <c r="W36" s="17">
        <f t="shared" si="17"/>
        <v>4609.5534579015257</v>
      </c>
      <c r="X36" s="17">
        <f t="shared" si="18"/>
        <v>247893.60819513153</v>
      </c>
      <c r="Y36" s="17"/>
      <c r="Z36" s="17">
        <f t="shared" si="19"/>
        <v>164017</v>
      </c>
      <c r="AA36" s="17"/>
      <c r="AB36" s="17"/>
      <c r="AC36" s="17"/>
      <c r="AD36" s="17">
        <f>+AVERAGE(Z36:Z50)</f>
        <v>93746.866666666669</v>
      </c>
      <c r="AF36">
        <v>2046</v>
      </c>
    </row>
    <row r="37" spans="1:32" x14ac:dyDescent="0.25">
      <c r="A37">
        <v>2047</v>
      </c>
      <c r="B37" s="17"/>
      <c r="C37" s="17"/>
      <c r="D37" s="17"/>
      <c r="E37" s="17"/>
      <c r="F37" s="17">
        <f t="shared" si="0"/>
        <v>41209.413963414743</v>
      </c>
      <c r="G37" s="17">
        <f t="shared" si="6"/>
        <v>3469.5860365852595</v>
      </c>
      <c r="H37" s="17">
        <f t="shared" si="7"/>
        <v>42901.76268107639</v>
      </c>
      <c r="I37" s="17"/>
      <c r="J37" s="17">
        <f t="shared" si="8"/>
        <v>17189.041918680516</v>
      </c>
      <c r="K37" s="17">
        <f t="shared" si="9"/>
        <v>1784.9580813194841</v>
      </c>
      <c r="L37" s="17">
        <f t="shared" si="11"/>
        <v>54209.281334098843</v>
      </c>
      <c r="M37" s="17"/>
      <c r="N37" s="17">
        <f t="shared" si="1"/>
        <v>25118.36397997813</v>
      </c>
      <c r="O37" s="17">
        <f t="shared" si="2"/>
        <v>4024.6360200218678</v>
      </c>
      <c r="P37" s="17">
        <f t="shared" si="3"/>
        <v>189528.89042118815</v>
      </c>
      <c r="Q37" s="17"/>
      <c r="R37" s="17">
        <f t="shared" si="12"/>
        <v>41657.32652009718</v>
      </c>
      <c r="S37" s="17">
        <f t="shared" si="14"/>
        <v>9444.6734799028218</v>
      </c>
      <c r="T37" s="17">
        <f t="shared" si="15"/>
        <v>462058.59240805334</v>
      </c>
      <c r="U37" s="17"/>
      <c r="V37" s="17">
        <f t="shared" si="16"/>
        <v>15780.861856585198</v>
      </c>
      <c r="W37" s="17">
        <f t="shared" si="17"/>
        <v>4338.1381434148025</v>
      </c>
      <c r="X37" s="17">
        <f t="shared" si="18"/>
        <v>232112.74633854633</v>
      </c>
      <c r="Y37" s="17"/>
      <c r="Z37" s="17">
        <f t="shared" si="19"/>
        <v>164017</v>
      </c>
      <c r="AA37" s="17"/>
      <c r="AB37" s="17"/>
      <c r="AC37" s="17"/>
      <c r="AD37" s="17">
        <f>+AVERAGE(Z37:Z50)</f>
        <v>88727.571428571435</v>
      </c>
      <c r="AF37">
        <v>2047</v>
      </c>
    </row>
    <row r="38" spans="1:32" x14ac:dyDescent="0.25">
      <c r="A38">
        <v>2048</v>
      </c>
      <c r="B38" s="17"/>
      <c r="C38" s="17"/>
      <c r="D38" s="17"/>
      <c r="E38" s="17"/>
      <c r="F38" s="17">
        <f t="shared" si="0"/>
        <v>42909.302289405598</v>
      </c>
      <c r="G38" s="17">
        <f t="shared" si="6"/>
        <v>1769.6977105944011</v>
      </c>
      <c r="H38" s="17">
        <f t="shared" si="7"/>
        <v>-7.5396083292071125</v>
      </c>
      <c r="I38" s="17"/>
      <c r="J38" s="17">
        <f t="shared" si="8"/>
        <v>17618.767966647531</v>
      </c>
      <c r="K38" s="17">
        <f t="shared" si="9"/>
        <v>1355.2320333524713</v>
      </c>
      <c r="L38" s="17">
        <f t="shared" si="11"/>
        <v>36590.513367451313</v>
      </c>
      <c r="M38" s="17"/>
      <c r="N38" s="17">
        <f t="shared" si="1"/>
        <v>25589.333304602722</v>
      </c>
      <c r="O38" s="17">
        <f t="shared" si="2"/>
        <v>3553.6666953972776</v>
      </c>
      <c r="P38" s="17">
        <f t="shared" si="3"/>
        <v>163939.55711658543</v>
      </c>
      <c r="Q38" s="17"/>
      <c r="R38" s="17">
        <f t="shared" si="12"/>
        <v>42438.401392348998</v>
      </c>
      <c r="S38" s="17">
        <f t="shared" si="14"/>
        <v>8663.5986076509998</v>
      </c>
      <c r="T38" s="17">
        <f t="shared" si="15"/>
        <v>419620.19101570436</v>
      </c>
      <c r="U38" s="17"/>
      <c r="V38" s="17">
        <f t="shared" si="16"/>
        <v>16057.026939075438</v>
      </c>
      <c r="W38" s="17">
        <f t="shared" si="17"/>
        <v>4061.9730609245612</v>
      </c>
      <c r="X38" s="17">
        <f t="shared" si="18"/>
        <v>216055.71939947089</v>
      </c>
      <c r="Y38" s="17"/>
      <c r="Z38" s="17">
        <f t="shared" si="19"/>
        <v>164017</v>
      </c>
      <c r="AA38" s="17"/>
      <c r="AB38" s="17"/>
      <c r="AC38" s="17"/>
      <c r="AD38" s="17">
        <f>+AVERAGE(Z38:Z50)</f>
        <v>82936.076923076922</v>
      </c>
      <c r="AF38">
        <v>2048</v>
      </c>
    </row>
    <row r="39" spans="1:32" x14ac:dyDescent="0.25">
      <c r="A39">
        <v>2049</v>
      </c>
      <c r="B39" s="17"/>
      <c r="C39" s="17"/>
      <c r="D39" s="17"/>
      <c r="E39" s="17"/>
      <c r="F39" s="17"/>
      <c r="G39" s="17"/>
      <c r="H39" s="17"/>
      <c r="I39" s="17"/>
      <c r="J39" s="17">
        <f t="shared" si="8"/>
        <v>18059.237165813716</v>
      </c>
      <c r="K39" s="17">
        <f t="shared" si="9"/>
        <v>914.76283418628282</v>
      </c>
      <c r="L39" s="17">
        <f t="shared" si="11"/>
        <v>18531.276201637596</v>
      </c>
      <c r="M39" s="17"/>
      <c r="N39" s="17">
        <f t="shared" si="1"/>
        <v>26069.133304064024</v>
      </c>
      <c r="O39" s="17">
        <f t="shared" si="2"/>
        <v>3073.8666959359766</v>
      </c>
      <c r="P39" s="17">
        <f t="shared" si="3"/>
        <v>137870.42381252142</v>
      </c>
      <c r="Q39" s="17"/>
      <c r="R39" s="17">
        <f t="shared" si="12"/>
        <v>43234.121418455543</v>
      </c>
      <c r="S39" s="17">
        <f t="shared" si="14"/>
        <v>7867.8785815444562</v>
      </c>
      <c r="T39" s="17">
        <f t="shared" si="15"/>
        <v>376386.0695972488</v>
      </c>
      <c r="U39" s="17"/>
      <c r="V39" s="17">
        <f t="shared" si="16"/>
        <v>16338.024910509259</v>
      </c>
      <c r="W39" s="17">
        <f t="shared" si="17"/>
        <v>3780.9750894907411</v>
      </c>
      <c r="X39" s="17">
        <f t="shared" si="18"/>
        <v>199717.69448896163</v>
      </c>
      <c r="Y39" s="17"/>
      <c r="Z39" s="17">
        <f t="shared" si="19"/>
        <v>119338</v>
      </c>
      <c r="AA39" s="17"/>
      <c r="AB39" s="17"/>
      <c r="AC39" s="17"/>
      <c r="AD39" s="17">
        <f>+AVERAGE(Z39:Z50)</f>
        <v>76179.333333333328</v>
      </c>
      <c r="AF39">
        <v>2049</v>
      </c>
    </row>
    <row r="40" spans="1:32" x14ac:dyDescent="0.25">
      <c r="A40">
        <v>2050</v>
      </c>
      <c r="B40" s="17"/>
      <c r="C40" s="17"/>
      <c r="D40" s="17"/>
      <c r="E40" s="17"/>
      <c r="F40" s="17"/>
      <c r="G40" s="17"/>
      <c r="H40" s="17"/>
      <c r="I40" s="17"/>
      <c r="J40" s="17">
        <f t="shared" si="8"/>
        <v>18510.718094959058</v>
      </c>
      <c r="K40" s="17">
        <f t="shared" si="9"/>
        <v>463.28190504093993</v>
      </c>
      <c r="L40" s="17">
        <f t="shared" si="11"/>
        <v>20.558106678538024</v>
      </c>
      <c r="M40" s="17"/>
      <c r="N40" s="17">
        <f t="shared" si="1"/>
        <v>26557.929553515223</v>
      </c>
      <c r="O40" s="17">
        <f t="shared" si="2"/>
        <v>2585.0704464847763</v>
      </c>
      <c r="P40" s="17">
        <f t="shared" si="3"/>
        <v>111312.4942590062</v>
      </c>
      <c r="Q40" s="17"/>
      <c r="R40" s="17">
        <f t="shared" si="12"/>
        <v>44044.761195051586</v>
      </c>
      <c r="S40" s="17">
        <f t="shared" si="14"/>
        <v>7057.2388049484152</v>
      </c>
      <c r="T40" s="17">
        <f t="shared" si="15"/>
        <v>332341.3084021972</v>
      </c>
      <c r="U40" s="17"/>
      <c r="V40" s="17">
        <f t="shared" si="16"/>
        <v>16623.940346443171</v>
      </c>
      <c r="W40" s="17">
        <f t="shared" si="17"/>
        <v>3495.0596535568288</v>
      </c>
      <c r="X40" s="17">
        <f t="shared" si="18"/>
        <v>183093.75414251845</v>
      </c>
      <c r="Y40" s="17"/>
      <c r="Z40" s="17">
        <f t="shared" si="19"/>
        <v>119338</v>
      </c>
      <c r="AA40" s="17"/>
      <c r="AB40" s="17"/>
      <c r="AC40" s="17"/>
      <c r="AD40" s="17">
        <f>+AVERAGE(Z40:Z50)</f>
        <v>72255.818181818177</v>
      </c>
      <c r="AF40">
        <v>2050</v>
      </c>
    </row>
    <row r="41" spans="1:32" x14ac:dyDescent="0.25">
      <c r="A41">
        <v>2051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>
        <f t="shared" si="1"/>
        <v>27055.890732643635</v>
      </c>
      <c r="O41" s="17">
        <f t="shared" si="2"/>
        <v>2087.1092673563662</v>
      </c>
      <c r="P41" s="17">
        <f t="shared" si="3"/>
        <v>84256.603526362567</v>
      </c>
      <c r="Q41" s="17"/>
      <c r="R41" s="17">
        <f t="shared" si="12"/>
        <v>44870.600467458804</v>
      </c>
      <c r="S41" s="17">
        <f t="shared" si="14"/>
        <v>6231.399532541197</v>
      </c>
      <c r="T41" s="17">
        <f t="shared" si="15"/>
        <v>287470.70793473837</v>
      </c>
      <c r="U41" s="17"/>
      <c r="V41" s="17">
        <f t="shared" si="16"/>
        <v>16914.859302505927</v>
      </c>
      <c r="W41" s="17">
        <f t="shared" si="17"/>
        <v>3204.1406974940733</v>
      </c>
      <c r="X41" s="17">
        <f t="shared" si="18"/>
        <v>166178.89484001251</v>
      </c>
      <c r="Y41" s="17"/>
      <c r="Z41" s="17">
        <f t="shared" si="19"/>
        <v>100364</v>
      </c>
      <c r="AA41" s="17"/>
      <c r="AB41" s="17"/>
      <c r="AC41" s="17"/>
      <c r="AD41" s="17">
        <f>+AVERAGE(Z41:Z50)</f>
        <v>67547.600000000006</v>
      </c>
      <c r="AF41">
        <v>2051</v>
      </c>
    </row>
    <row r="42" spans="1:32" x14ac:dyDescent="0.25">
      <c r="A42">
        <v>2052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1"/>
        <v>27563.1886838807</v>
      </c>
      <c r="O42" s="17">
        <f t="shared" si="2"/>
        <v>1579.811316119298</v>
      </c>
      <c r="P42" s="17">
        <f t="shared" si="3"/>
        <v>56693.41484248187</v>
      </c>
      <c r="Q42" s="17"/>
      <c r="R42" s="17">
        <f t="shared" si="12"/>
        <v>45711.924226223658</v>
      </c>
      <c r="S42" s="17">
        <f t="shared" si="14"/>
        <v>5390.0757737763442</v>
      </c>
      <c r="T42" s="17">
        <f t="shared" si="15"/>
        <v>241758.7837085147</v>
      </c>
      <c r="U42" s="17"/>
      <c r="V42" s="17">
        <f t="shared" si="16"/>
        <v>17210.869340299781</v>
      </c>
      <c r="W42" s="17">
        <f t="shared" si="17"/>
        <v>2908.130659700219</v>
      </c>
      <c r="X42" s="17">
        <f t="shared" si="18"/>
        <v>148968.02549971273</v>
      </c>
      <c r="Y42" s="17"/>
      <c r="Z42" s="17">
        <f t="shared" si="19"/>
        <v>100364</v>
      </c>
      <c r="AA42" s="17"/>
      <c r="AB42" s="17"/>
      <c r="AC42" s="17"/>
      <c r="AD42" s="17">
        <f>+AVERAGE(Z42:Z50)</f>
        <v>63901.333333333336</v>
      </c>
      <c r="AF42">
        <v>2052</v>
      </c>
    </row>
    <row r="43" spans="1:32" x14ac:dyDescent="0.25">
      <c r="A43">
        <v>2053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>
        <f t="shared" si="1"/>
        <v>28079.998471703464</v>
      </c>
      <c r="O43" s="17">
        <f t="shared" si="2"/>
        <v>1063.0015282965351</v>
      </c>
      <c r="P43" s="17">
        <f t="shared" si="3"/>
        <v>28613.416370778406</v>
      </c>
      <c r="Q43" s="17"/>
      <c r="R43" s="17">
        <f t="shared" si="12"/>
        <v>46569.022805465349</v>
      </c>
      <c r="S43" s="17">
        <f t="shared" si="14"/>
        <v>4532.9771945346502</v>
      </c>
      <c r="T43" s="17">
        <f t="shared" si="15"/>
        <v>195189.76090304935</v>
      </c>
      <c r="U43" s="17"/>
      <c r="V43" s="17">
        <f t="shared" si="16"/>
        <v>17512.059553755025</v>
      </c>
      <c r="W43" s="17">
        <f t="shared" si="17"/>
        <v>2606.9404462449729</v>
      </c>
      <c r="X43" s="17">
        <f t="shared" si="18"/>
        <v>131455.96594595769</v>
      </c>
      <c r="Y43" s="17"/>
      <c r="Z43" s="17">
        <f t="shared" si="19"/>
        <v>100364</v>
      </c>
      <c r="AA43" s="17"/>
      <c r="AB43" s="17"/>
      <c r="AC43" s="17"/>
      <c r="AD43" s="17">
        <f>+AVERAGE(Z43:Z50)</f>
        <v>59343.5</v>
      </c>
      <c r="AF43">
        <v>2053</v>
      </c>
    </row>
    <row r="44" spans="1:32" x14ac:dyDescent="0.25">
      <c r="A44">
        <v>2054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>
        <f t="shared" si="1"/>
        <v>28606.498443047905</v>
      </c>
      <c r="O44" s="17">
        <f t="shared" si="2"/>
        <v>536.50155695209514</v>
      </c>
      <c r="P44" s="17">
        <f t="shared" si="3"/>
        <v>6.9179277305011055</v>
      </c>
      <c r="Q44" s="17"/>
      <c r="R44" s="17">
        <f t="shared" si="12"/>
        <v>47442.191983067823</v>
      </c>
      <c r="S44" s="17">
        <f t="shared" si="14"/>
        <v>3659.8080169321752</v>
      </c>
      <c r="T44" s="17">
        <f t="shared" si="15"/>
        <v>147747.56891998154</v>
      </c>
      <c r="U44" s="17"/>
      <c r="V44" s="17">
        <f t="shared" si="16"/>
        <v>17818.520595945742</v>
      </c>
      <c r="W44" s="17">
        <f t="shared" si="17"/>
        <v>2300.4794040542597</v>
      </c>
      <c r="X44" s="17">
        <f t="shared" si="18"/>
        <v>113637.44535001196</v>
      </c>
      <c r="Y44" s="17"/>
      <c r="Z44" s="17">
        <f t="shared" si="19"/>
        <v>100364</v>
      </c>
      <c r="AA44" s="17"/>
      <c r="AB44" s="17"/>
      <c r="AC44" s="17"/>
      <c r="AD44" s="17">
        <f>+AVERAGE(Z44:Z50)</f>
        <v>53483.428571428572</v>
      </c>
      <c r="AF44">
        <v>2054</v>
      </c>
    </row>
    <row r="45" spans="1:32" x14ac:dyDescent="0.25">
      <c r="A45">
        <v>2055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>
        <f t="shared" si="12"/>
        <v>48331.733082750347</v>
      </c>
      <c r="S45" s="17">
        <f t="shared" si="14"/>
        <v>2770.2669172496539</v>
      </c>
      <c r="T45" s="17">
        <f t="shared" si="15"/>
        <v>99415.835837231192</v>
      </c>
      <c r="U45" s="17"/>
      <c r="V45" s="17">
        <f t="shared" si="16"/>
        <v>18130.344706374792</v>
      </c>
      <c r="W45" s="17">
        <f t="shared" si="17"/>
        <v>1988.6552936252094</v>
      </c>
      <c r="X45" s="17">
        <f t="shared" si="18"/>
        <v>95507.100643637168</v>
      </c>
      <c r="Y45" s="17"/>
      <c r="Z45" s="17">
        <f t="shared" si="19"/>
        <v>71221</v>
      </c>
      <c r="AA45" s="17"/>
      <c r="AB45" s="17"/>
      <c r="AC45" s="17"/>
      <c r="AD45" s="17">
        <f>+AVERAGE(Z45:Z50)</f>
        <v>45670</v>
      </c>
      <c r="AF45">
        <v>2055</v>
      </c>
    </row>
    <row r="46" spans="1:32" x14ac:dyDescent="0.25">
      <c r="A46">
        <v>2056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>
        <f t="shared" si="12"/>
        <v>49237.953078051913</v>
      </c>
      <c r="S46" s="17">
        <f t="shared" si="14"/>
        <v>1864.0469219480847</v>
      </c>
      <c r="T46" s="17">
        <f t="shared" si="15"/>
        <v>50177.88275917928</v>
      </c>
      <c r="U46" s="17"/>
      <c r="V46" s="17">
        <f t="shared" si="16"/>
        <v>18447.625738736351</v>
      </c>
      <c r="W46" s="17">
        <f t="shared" si="17"/>
        <v>1671.3742612636506</v>
      </c>
      <c r="X46" s="17">
        <f t="shared" si="18"/>
        <v>77059.474904900824</v>
      </c>
      <c r="Y46" s="17"/>
      <c r="Z46" s="17">
        <f t="shared" si="19"/>
        <v>71221</v>
      </c>
      <c r="AA46" s="17"/>
      <c r="AB46" s="17"/>
      <c r="AC46" s="17"/>
      <c r="AD46" s="17">
        <f>+AVERAGE(Z46:Z50)</f>
        <v>40559.800000000003</v>
      </c>
      <c r="AF46">
        <v>2056</v>
      </c>
    </row>
    <row r="47" spans="1:32" x14ac:dyDescent="0.25">
      <c r="A47">
        <v>2057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>
        <f t="shared" si="12"/>
        <v>50161.164698265391</v>
      </c>
      <c r="S47" s="17">
        <f t="shared" si="14"/>
        <v>940.83530173461145</v>
      </c>
      <c r="T47" s="17">
        <f t="shared" si="15"/>
        <v>16.718060913888621</v>
      </c>
      <c r="U47" s="17"/>
      <c r="V47" s="17">
        <f t="shared" si="16"/>
        <v>18770.459189164234</v>
      </c>
      <c r="W47" s="17">
        <f t="shared" si="17"/>
        <v>1348.5408108357647</v>
      </c>
      <c r="X47" s="17">
        <f t="shared" si="18"/>
        <v>58289.01571573659</v>
      </c>
      <c r="Y47" s="17"/>
      <c r="Z47" s="17">
        <f t="shared" si="19"/>
        <v>71221</v>
      </c>
      <c r="AA47" s="17"/>
      <c r="AB47" s="17"/>
      <c r="AC47" s="17"/>
      <c r="AD47" s="17">
        <f>+AVERAGE(Z47:Z50)</f>
        <v>32894.5</v>
      </c>
      <c r="AF47">
        <v>2057</v>
      </c>
    </row>
    <row r="48" spans="1:32" x14ac:dyDescent="0.25">
      <c r="A48">
        <v>2058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f>20119-W48</f>
        <v>19098.942224974609</v>
      </c>
      <c r="W48" s="17">
        <f t="shared" si="17"/>
        <v>1020.0577750253905</v>
      </c>
      <c r="X48" s="17">
        <f t="shared" si="18"/>
        <v>39190.073490761977</v>
      </c>
      <c r="Y48" s="17"/>
      <c r="Z48" s="17">
        <f>W48+V48+S48+R48+O48+N48+K48+J48+G48+F48+C48+B48</f>
        <v>20119</v>
      </c>
      <c r="AA48" s="17"/>
      <c r="AB48" s="17"/>
      <c r="AC48" s="17"/>
      <c r="AD48" s="17">
        <f>+AVERAGE(Z48:Z50)</f>
        <v>20119</v>
      </c>
      <c r="AF48">
        <v>2058</v>
      </c>
    </row>
    <row r="49" spans="1:32" x14ac:dyDescent="0.25">
      <c r="A49">
        <v>2059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f t="shared" si="16"/>
        <v>19433.173713911667</v>
      </c>
      <c r="W49" s="17">
        <f t="shared" si="17"/>
        <v>685.82628608833465</v>
      </c>
      <c r="X49" s="17">
        <f>X48-V49</f>
        <v>19756.89977685031</v>
      </c>
      <c r="Y49" s="17"/>
      <c r="Z49" s="17">
        <f t="shared" si="19"/>
        <v>20119</v>
      </c>
      <c r="AA49" s="17"/>
      <c r="AB49" s="17"/>
      <c r="AC49" s="17"/>
      <c r="AD49" s="17">
        <f>+AVERAGE(Z49:Z50)</f>
        <v>20119</v>
      </c>
      <c r="AF49">
        <v>2059</v>
      </c>
    </row>
    <row r="50" spans="1:32" x14ac:dyDescent="0.25">
      <c r="A50">
        <v>2060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f t="shared" si="16"/>
        <v>19773.254253905121</v>
      </c>
      <c r="W50" s="17">
        <f t="shared" si="17"/>
        <v>345.74574609488047</v>
      </c>
      <c r="X50" s="17">
        <f t="shared" si="18"/>
        <v>-16.354477054810559</v>
      </c>
      <c r="Y50" s="17"/>
      <c r="Z50" s="17">
        <f t="shared" si="19"/>
        <v>20119</v>
      </c>
      <c r="AA50" s="17"/>
      <c r="AB50" s="17"/>
      <c r="AC50" s="17"/>
      <c r="AD50" s="17">
        <f>+AVERAGE(Z50:Z50)</f>
        <v>20119</v>
      </c>
      <c r="AF50">
        <v>2060</v>
      </c>
    </row>
    <row r="51" spans="1:32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>
        <f>SUM(Z7:Z51)</f>
        <v>6554237</v>
      </c>
      <c r="AA52" s="17"/>
      <c r="AB52" s="17"/>
      <c r="AC52" s="17"/>
      <c r="AD52" s="17"/>
    </row>
  </sheetData>
  <sheetProtection selectLockedCells="1" selectUnlockedCells="1"/>
  <pageMargins left="0.7" right="0.7" top="0.75" bottom="0.75" header="0.3" footer="0.3"/>
  <pageSetup scale="90" orientation="portrait" r:id="rId1"/>
  <colBreaks count="6" manualBreakCount="6">
    <brk id="5" max="1048575" man="1"/>
    <brk id="9" max="1048575" man="1"/>
    <brk id="13" max="1048575" man="1"/>
    <brk id="17" max="1048575" man="1"/>
    <brk id="21" max="1048575" man="1"/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5"/>
  <sheetViews>
    <sheetView workbookViewId="0">
      <selection activeCell="G74" sqref="G74"/>
    </sheetView>
  </sheetViews>
  <sheetFormatPr defaultRowHeight="15" x14ac:dyDescent="0.25"/>
  <cols>
    <col min="1" max="1" width="10.7109375" bestFit="1" customWidth="1"/>
    <col min="4" max="4" width="15.85546875" customWidth="1"/>
    <col min="5" max="5" width="14.85546875" customWidth="1"/>
    <col min="6" max="6" width="2.7109375" customWidth="1"/>
    <col min="7" max="8" width="14.7109375" style="9" customWidth="1"/>
    <col min="10" max="10" width="14.7109375" customWidth="1"/>
    <col min="11" max="11" width="14.7109375" style="9" customWidth="1"/>
  </cols>
  <sheetData>
    <row r="1" spans="1:11" x14ac:dyDescent="0.25">
      <c r="A1" s="1" t="s">
        <v>40</v>
      </c>
      <c r="B1" s="1"/>
      <c r="C1" s="1"/>
      <c r="D1" s="1"/>
      <c r="E1" s="1"/>
      <c r="F1" s="1"/>
      <c r="G1" s="12"/>
      <c r="H1" s="12"/>
      <c r="I1" s="1"/>
      <c r="J1" s="1"/>
    </row>
    <row r="2" spans="1:11" x14ac:dyDescent="0.25">
      <c r="A2" s="11">
        <v>43830</v>
      </c>
      <c r="B2" s="1"/>
      <c r="C2" s="1"/>
      <c r="D2" s="1"/>
      <c r="E2" s="1"/>
      <c r="F2" s="1"/>
      <c r="G2" s="12"/>
      <c r="H2" s="12"/>
      <c r="I2" s="1"/>
      <c r="J2" s="1"/>
    </row>
    <row r="3" spans="1:11" x14ac:dyDescent="0.25">
      <c r="A3" s="1"/>
      <c r="B3" s="1"/>
      <c r="C3" s="1"/>
      <c r="D3" s="1" t="s">
        <v>41</v>
      </c>
      <c r="E3" s="1"/>
      <c r="F3" s="1"/>
      <c r="G3" s="12"/>
      <c r="H3" s="12"/>
      <c r="I3" s="1"/>
      <c r="J3" s="1"/>
    </row>
    <row r="4" spans="1:11" x14ac:dyDescent="0.25">
      <c r="A4" s="1"/>
      <c r="B4" s="1"/>
      <c r="C4" s="1"/>
      <c r="D4" s="1" t="s">
        <v>42</v>
      </c>
      <c r="E4" s="1"/>
      <c r="F4" s="1"/>
      <c r="G4" s="12" t="s">
        <v>43</v>
      </c>
      <c r="H4" s="12" t="s">
        <v>44</v>
      </c>
      <c r="I4" s="1"/>
      <c r="J4" s="1" t="s">
        <v>45</v>
      </c>
    </row>
    <row r="5" spans="1:11" x14ac:dyDescent="0.25">
      <c r="D5" s="9"/>
      <c r="E5" s="9"/>
    </row>
    <row r="6" spans="1:11" x14ac:dyDescent="0.25">
      <c r="A6" t="s">
        <v>46</v>
      </c>
      <c r="D6" s="9">
        <f>1439061+147000+119345.52+132500+9004.41+7650+56108.22+175421.96+540534.81+58393.17+243472.68+180174.61+997433.45+648148.21+342484.13+161488.91+1020099.63+51051.63+75097.19+40597.21+38306+550+48954+2512730.45+780642.92+16795.6+877.06+0.6</f>
        <v>9843923.370000001</v>
      </c>
      <c r="E6" s="9"/>
      <c r="J6" s="9">
        <f>D6</f>
        <v>9843923.370000001</v>
      </c>
    </row>
    <row r="7" spans="1:11" x14ac:dyDescent="0.25">
      <c r="A7" t="s">
        <v>47</v>
      </c>
      <c r="D7" s="9">
        <v>12396.72</v>
      </c>
      <c r="E7" s="9"/>
      <c r="J7" s="9">
        <f t="shared" ref="J7:J9" si="0">D7</f>
        <v>12396.72</v>
      </c>
    </row>
    <row r="8" spans="1:11" x14ac:dyDescent="0.25">
      <c r="A8" t="s">
        <v>48</v>
      </c>
      <c r="D8" s="9">
        <v>4200</v>
      </c>
      <c r="E8" s="9"/>
      <c r="J8" s="9">
        <f t="shared" si="0"/>
        <v>4200</v>
      </c>
    </row>
    <row r="9" spans="1:11" x14ac:dyDescent="0.25">
      <c r="A9" t="s">
        <v>49</v>
      </c>
      <c r="D9" s="9">
        <v>63624.13</v>
      </c>
      <c r="E9" s="9"/>
      <c r="J9" s="9">
        <f t="shared" si="0"/>
        <v>63624.13</v>
      </c>
    </row>
    <row r="10" spans="1:11" x14ac:dyDescent="0.25">
      <c r="A10" t="s">
        <v>50</v>
      </c>
      <c r="D10" s="9"/>
      <c r="E10" s="9">
        <f>13165.59+2251678+70158.3+384913.64+16051.91+39322.61+510268+550+3886.5+3359.5+64774+48954</f>
        <v>3407082.05</v>
      </c>
      <c r="K10" s="9">
        <v>3407082.05</v>
      </c>
    </row>
    <row r="11" spans="1:11" x14ac:dyDescent="0.25">
      <c r="A11" t="s">
        <v>122</v>
      </c>
      <c r="D11" s="9"/>
      <c r="E11" s="9"/>
      <c r="H11" s="9">
        <v>435</v>
      </c>
      <c r="K11" s="9">
        <v>435</v>
      </c>
    </row>
    <row r="12" spans="1:11" x14ac:dyDescent="0.25">
      <c r="A12" t="s">
        <v>51</v>
      </c>
      <c r="D12" s="9">
        <v>181730.28</v>
      </c>
      <c r="E12" s="9"/>
      <c r="J12" s="9">
        <f t="shared" ref="J12:J26" si="1">D12</f>
        <v>181730.28</v>
      </c>
    </row>
    <row r="13" spans="1:11" x14ac:dyDescent="0.25">
      <c r="A13" t="s">
        <v>52</v>
      </c>
      <c r="D13" s="9">
        <v>20480.97</v>
      </c>
      <c r="E13" s="9"/>
      <c r="J13" s="9">
        <f t="shared" si="1"/>
        <v>20480.97</v>
      </c>
    </row>
    <row r="14" spans="1:11" x14ac:dyDescent="0.25">
      <c r="A14" t="s">
        <v>53</v>
      </c>
      <c r="D14" s="9">
        <v>110429.48</v>
      </c>
      <c r="E14" s="9"/>
      <c r="J14" s="9">
        <f t="shared" si="1"/>
        <v>110429.48</v>
      </c>
    </row>
    <row r="15" spans="1:11" x14ac:dyDescent="0.25">
      <c r="A15" t="s">
        <v>54</v>
      </c>
      <c r="D15" s="9">
        <v>504</v>
      </c>
      <c r="E15" s="9"/>
      <c r="J15" s="9">
        <f t="shared" si="1"/>
        <v>504</v>
      </c>
    </row>
    <row r="16" spans="1:11" x14ac:dyDescent="0.25">
      <c r="A16" t="s">
        <v>55</v>
      </c>
      <c r="D16" s="9">
        <v>4785.08</v>
      </c>
      <c r="E16" s="9"/>
      <c r="J16" s="9">
        <f t="shared" si="1"/>
        <v>4785.08</v>
      </c>
    </row>
    <row r="17" spans="1:11" x14ac:dyDescent="0.25">
      <c r="A17" t="s">
        <v>56</v>
      </c>
      <c r="D17" s="9">
        <v>182833.85</v>
      </c>
      <c r="E17" s="9"/>
      <c r="J17" s="9">
        <f t="shared" si="1"/>
        <v>182833.85</v>
      </c>
    </row>
    <row r="18" spans="1:11" x14ac:dyDescent="0.25">
      <c r="A18" t="s">
        <v>57</v>
      </c>
      <c r="D18" s="9">
        <v>9317.73</v>
      </c>
      <c r="E18" s="9"/>
      <c r="J18" s="9">
        <f t="shared" si="1"/>
        <v>9317.73</v>
      </c>
    </row>
    <row r="19" spans="1:11" x14ac:dyDescent="0.25">
      <c r="A19" t="s">
        <v>58</v>
      </c>
      <c r="D19" s="9">
        <v>26725.13</v>
      </c>
      <c r="E19" s="9"/>
      <c r="J19" s="9">
        <f t="shared" si="1"/>
        <v>26725.13</v>
      </c>
    </row>
    <row r="20" spans="1:11" x14ac:dyDescent="0.25">
      <c r="A20" t="s">
        <v>59</v>
      </c>
      <c r="D20" s="9">
        <v>202179.18</v>
      </c>
      <c r="E20" s="9"/>
      <c r="J20" s="9">
        <f t="shared" si="1"/>
        <v>202179.18</v>
      </c>
    </row>
    <row r="21" spans="1:11" x14ac:dyDescent="0.25">
      <c r="A21" t="s">
        <v>60</v>
      </c>
      <c r="D21" s="9">
        <v>359501.73</v>
      </c>
      <c r="E21" s="9"/>
      <c r="J21" s="9">
        <f t="shared" si="1"/>
        <v>359501.73</v>
      </c>
    </row>
    <row r="22" spans="1:11" x14ac:dyDescent="0.25">
      <c r="A22" t="s">
        <v>61</v>
      </c>
      <c r="D22" s="9">
        <v>10826.55</v>
      </c>
      <c r="E22" s="9"/>
      <c r="J22" s="9">
        <f t="shared" si="1"/>
        <v>10826.55</v>
      </c>
    </row>
    <row r="23" spans="1:11" x14ac:dyDescent="0.25">
      <c r="A23" t="s">
        <v>62</v>
      </c>
      <c r="D23" s="9">
        <v>99508.72</v>
      </c>
      <c r="E23" s="9"/>
      <c r="J23" s="9">
        <f t="shared" si="1"/>
        <v>99508.72</v>
      </c>
    </row>
    <row r="24" spans="1:11" x14ac:dyDescent="0.25">
      <c r="A24" t="s">
        <v>63</v>
      </c>
      <c r="D24" s="9">
        <v>6500</v>
      </c>
      <c r="E24" s="9"/>
      <c r="J24" s="9">
        <f t="shared" si="1"/>
        <v>6500</v>
      </c>
    </row>
    <row r="25" spans="1:11" x14ac:dyDescent="0.25">
      <c r="A25" t="s">
        <v>64</v>
      </c>
      <c r="D25" s="9">
        <v>68467.990000000005</v>
      </c>
      <c r="E25" s="9"/>
      <c r="J25" s="9">
        <f t="shared" si="1"/>
        <v>68467.990000000005</v>
      </c>
    </row>
    <row r="26" spans="1:11" x14ac:dyDescent="0.25">
      <c r="A26" t="s">
        <v>65</v>
      </c>
      <c r="D26" s="9">
        <v>2501.4299999999998</v>
      </c>
      <c r="E26" s="9"/>
      <c r="J26" s="9">
        <f t="shared" si="1"/>
        <v>2501.4299999999998</v>
      </c>
    </row>
    <row r="27" spans="1:11" x14ac:dyDescent="0.25">
      <c r="A27" t="s">
        <v>124</v>
      </c>
      <c r="D27" s="9"/>
      <c r="E27" s="9"/>
      <c r="G27" s="9">
        <v>61581.55</v>
      </c>
      <c r="J27" s="9">
        <v>61581.55</v>
      </c>
    </row>
    <row r="28" spans="1:11" x14ac:dyDescent="0.25">
      <c r="A28" t="s">
        <v>72</v>
      </c>
      <c r="D28" s="9"/>
      <c r="E28" s="9">
        <v>22957.66</v>
      </c>
      <c r="K28" s="9">
        <v>22957.66</v>
      </c>
    </row>
    <row r="29" spans="1:11" x14ac:dyDescent="0.25">
      <c r="A29" t="s">
        <v>73</v>
      </c>
      <c r="D29" s="9"/>
      <c r="E29" s="9">
        <v>18659.86</v>
      </c>
      <c r="K29" s="9">
        <v>18659.86</v>
      </c>
    </row>
    <row r="30" spans="1:11" x14ac:dyDescent="0.25">
      <c r="A30" t="s">
        <v>74</v>
      </c>
      <c r="D30" s="9"/>
      <c r="E30" s="9">
        <v>34401.129999999997</v>
      </c>
      <c r="K30" s="9">
        <v>34401.129999999997</v>
      </c>
    </row>
    <row r="31" spans="1:11" x14ac:dyDescent="0.25">
      <c r="A31" t="s">
        <v>75</v>
      </c>
      <c r="D31" s="9"/>
      <c r="E31" s="9">
        <f>2802.87+593.47+371.21+228.38</f>
        <v>3995.9300000000003</v>
      </c>
      <c r="K31" s="9">
        <f>2802.87+593.47+371.21+228.38</f>
        <v>3995.9300000000003</v>
      </c>
    </row>
    <row r="32" spans="1:11" x14ac:dyDescent="0.25">
      <c r="A32" t="s">
        <v>76</v>
      </c>
      <c r="D32" s="9"/>
      <c r="E32" s="9">
        <v>267.67</v>
      </c>
      <c r="K32" s="9">
        <v>267.67</v>
      </c>
    </row>
    <row r="33" spans="1:11" x14ac:dyDescent="0.25">
      <c r="A33" t="s">
        <v>77</v>
      </c>
      <c r="D33" s="9"/>
      <c r="E33" s="9">
        <v>1860.32</v>
      </c>
      <c r="K33" s="9">
        <v>1860.32</v>
      </c>
    </row>
    <row r="34" spans="1:11" x14ac:dyDescent="0.25">
      <c r="A34" t="s">
        <v>78</v>
      </c>
      <c r="D34" s="9"/>
      <c r="E34" s="9">
        <v>63484.55</v>
      </c>
      <c r="K34" s="9">
        <v>63484.55</v>
      </c>
    </row>
    <row r="35" spans="1:11" x14ac:dyDescent="0.25">
      <c r="D35" s="9"/>
      <c r="E35" s="9"/>
    </row>
    <row r="36" spans="1:11" x14ac:dyDescent="0.25">
      <c r="A36" t="s">
        <v>67</v>
      </c>
      <c r="D36" s="9"/>
      <c r="E36" s="9">
        <f>'Amort schedules'!D9</f>
        <v>332418.8214740312</v>
      </c>
      <c r="K36" s="9">
        <v>332418.8214740312</v>
      </c>
    </row>
    <row r="37" spans="1:11" x14ac:dyDescent="0.25">
      <c r="A37" t="s">
        <v>68</v>
      </c>
      <c r="D37" s="9"/>
      <c r="E37" s="9">
        <f>'Amort schedules'!H9</f>
        <v>747708.70787249622</v>
      </c>
      <c r="K37" s="9">
        <v>747708.70787249622</v>
      </c>
    </row>
    <row r="38" spans="1:11" x14ac:dyDescent="0.25">
      <c r="A38" t="s">
        <v>69</v>
      </c>
      <c r="D38" s="9"/>
      <c r="E38" s="9">
        <f>'Amort schedules'!L9</f>
        <v>405966.02203125</v>
      </c>
      <c r="K38" s="9">
        <v>405966.02203125</v>
      </c>
    </row>
    <row r="39" spans="1:11" x14ac:dyDescent="0.25">
      <c r="A39" t="s">
        <v>70</v>
      </c>
      <c r="D39" s="9"/>
      <c r="E39" s="9">
        <f>'Amort schedules'!P9</f>
        <v>743025.43747070315</v>
      </c>
      <c r="K39" s="9">
        <v>743025.43747070315</v>
      </c>
    </row>
    <row r="40" spans="1:11" x14ac:dyDescent="0.25">
      <c r="A40" t="s">
        <v>71</v>
      </c>
      <c r="D40" s="9"/>
      <c r="E40" s="9">
        <f>'Amort schedules'!T9</f>
        <v>1380000</v>
      </c>
      <c r="K40" s="9">
        <v>1380000</v>
      </c>
    </row>
    <row r="41" spans="1:11" x14ac:dyDescent="0.25">
      <c r="D41" s="9"/>
      <c r="E41" s="9"/>
    </row>
    <row r="42" spans="1:11" x14ac:dyDescent="0.25">
      <c r="A42" t="s">
        <v>79</v>
      </c>
      <c r="D42" s="9"/>
      <c r="E42" s="9">
        <v>619517.11</v>
      </c>
      <c r="K42" s="9">
        <v>619517.11</v>
      </c>
    </row>
    <row r="43" spans="1:11" x14ac:dyDescent="0.25">
      <c r="A43" t="s">
        <v>80</v>
      </c>
      <c r="D43" s="9"/>
      <c r="E43" s="9">
        <v>173736.19</v>
      </c>
      <c r="K43" s="9">
        <v>173736.19</v>
      </c>
    </row>
    <row r="44" spans="1:11" x14ac:dyDescent="0.25">
      <c r="A44" t="s">
        <v>81</v>
      </c>
      <c r="D44" s="9"/>
      <c r="E44" s="9">
        <v>2289539.59</v>
      </c>
      <c r="K44" s="9">
        <v>2289539.59</v>
      </c>
    </row>
    <row r="45" spans="1:11" x14ac:dyDescent="0.25">
      <c r="A45" t="s">
        <v>82</v>
      </c>
      <c r="D45" s="9"/>
      <c r="E45" s="9">
        <v>147000</v>
      </c>
      <c r="K45" s="9">
        <v>147000</v>
      </c>
    </row>
    <row r="46" spans="1:11" x14ac:dyDescent="0.25">
      <c r="A46" t="s">
        <v>83</v>
      </c>
      <c r="D46" s="9"/>
      <c r="E46" s="9">
        <v>800000</v>
      </c>
      <c r="K46" s="9">
        <v>800000</v>
      </c>
    </row>
    <row r="47" spans="1:11" x14ac:dyDescent="0.25">
      <c r="A47" t="s">
        <v>84</v>
      </c>
      <c r="D47" s="9"/>
      <c r="E47" s="9">
        <v>112395</v>
      </c>
      <c r="K47" s="9">
        <v>112395</v>
      </c>
    </row>
    <row r="48" spans="1:11" x14ac:dyDescent="0.25">
      <c r="A48" t="s">
        <v>85</v>
      </c>
      <c r="D48" s="9"/>
      <c r="E48" s="9">
        <v>313120.84000000003</v>
      </c>
      <c r="K48" s="9">
        <v>313120.84000000003</v>
      </c>
    </row>
    <row r="49" spans="1:11" x14ac:dyDescent="0.25">
      <c r="A49" t="s">
        <v>81</v>
      </c>
      <c r="D49" s="9"/>
      <c r="E49" s="9">
        <v>515288.28</v>
      </c>
      <c r="K49" s="9">
        <v>515288.28</v>
      </c>
    </row>
    <row r="50" spans="1:11" x14ac:dyDescent="0.25">
      <c r="A50" t="s">
        <v>66</v>
      </c>
      <c r="D50" s="9">
        <v>851477.26</v>
      </c>
      <c r="E50" s="9"/>
      <c r="J50" s="9">
        <f>D50</f>
        <v>851477.26</v>
      </c>
    </row>
    <row r="51" spans="1:11" x14ac:dyDescent="0.25">
      <c r="D51" s="9"/>
      <c r="E51" s="9"/>
    </row>
    <row r="52" spans="1:11" x14ac:dyDescent="0.25">
      <c r="A52" t="s">
        <v>86</v>
      </c>
      <c r="D52" s="9"/>
      <c r="E52" s="9">
        <v>802836.09</v>
      </c>
      <c r="K52" s="9">
        <v>802836.09</v>
      </c>
    </row>
    <row r="53" spans="1:11" x14ac:dyDescent="0.25">
      <c r="A53" t="s">
        <v>87</v>
      </c>
      <c r="D53" s="9"/>
      <c r="E53" s="9">
        <v>15063.98</v>
      </c>
      <c r="K53" s="9">
        <v>15063.98</v>
      </c>
    </row>
    <row r="54" spans="1:11" x14ac:dyDescent="0.25">
      <c r="A54" t="s">
        <v>88</v>
      </c>
      <c r="D54" s="9"/>
      <c r="E54" s="9">
        <v>3150</v>
      </c>
      <c r="K54" s="9">
        <v>3150</v>
      </c>
    </row>
    <row r="55" spans="1:11" x14ac:dyDescent="0.25">
      <c r="A55" t="s">
        <v>89</v>
      </c>
      <c r="D55" s="9"/>
      <c r="E55" s="9">
        <v>840</v>
      </c>
      <c r="K55" s="9">
        <v>840</v>
      </c>
    </row>
    <row r="56" spans="1:11" x14ac:dyDescent="0.25">
      <c r="A56" t="s">
        <v>90</v>
      </c>
      <c r="D56" s="9"/>
      <c r="E56" s="9">
        <v>900</v>
      </c>
      <c r="K56" s="9">
        <v>900</v>
      </c>
    </row>
    <row r="57" spans="1:11" x14ac:dyDescent="0.25">
      <c r="A57" t="s">
        <v>91</v>
      </c>
      <c r="D57" s="9"/>
      <c r="E57" s="9">
        <v>13159.43</v>
      </c>
      <c r="K57" s="9">
        <v>13159.43</v>
      </c>
    </row>
    <row r="58" spans="1:11" x14ac:dyDescent="0.25">
      <c r="A58" t="s">
        <v>92</v>
      </c>
      <c r="D58" s="9">
        <v>147367.85999999999</v>
      </c>
      <c r="E58" s="9"/>
      <c r="J58" s="9">
        <f t="shared" ref="J58:J82" si="2">D58</f>
        <v>147367.85999999999</v>
      </c>
    </row>
    <row r="59" spans="1:11" x14ac:dyDescent="0.25">
      <c r="A59" t="s">
        <v>93</v>
      </c>
      <c r="D59" s="9">
        <v>8000</v>
      </c>
      <c r="E59" s="9"/>
      <c r="J59" s="9">
        <f t="shared" si="2"/>
        <v>8000</v>
      </c>
    </row>
    <row r="60" spans="1:11" x14ac:dyDescent="0.25">
      <c r="A60" t="s">
        <v>94</v>
      </c>
      <c r="D60" s="9">
        <v>243082.75</v>
      </c>
      <c r="E60" s="9"/>
      <c r="J60" s="9">
        <f t="shared" si="2"/>
        <v>243082.75</v>
      </c>
    </row>
    <row r="61" spans="1:11" x14ac:dyDescent="0.25">
      <c r="A61" t="s">
        <v>95</v>
      </c>
      <c r="D61" s="9">
        <v>5581.08</v>
      </c>
      <c r="E61" s="9"/>
      <c r="J61" s="9">
        <f t="shared" si="2"/>
        <v>5581.08</v>
      </c>
    </row>
    <row r="62" spans="1:11" x14ac:dyDescent="0.25">
      <c r="A62" t="s">
        <v>96</v>
      </c>
      <c r="D62" s="9">
        <v>4996</v>
      </c>
      <c r="E62" s="9"/>
      <c r="J62" s="9">
        <f t="shared" si="2"/>
        <v>4996</v>
      </c>
    </row>
    <row r="63" spans="1:11" x14ac:dyDescent="0.25">
      <c r="A63" t="s">
        <v>97</v>
      </c>
      <c r="D63" s="9">
        <v>69244.259999999995</v>
      </c>
      <c r="E63" s="9"/>
      <c r="H63" s="9">
        <v>61581.55</v>
      </c>
      <c r="J63" s="9">
        <f>D63-H63</f>
        <v>7662.7099999999919</v>
      </c>
    </row>
    <row r="64" spans="1:11" x14ac:dyDescent="0.25">
      <c r="A64" t="s">
        <v>98</v>
      </c>
      <c r="D64" s="9">
        <v>4196.78</v>
      </c>
      <c r="E64" s="9"/>
      <c r="J64" s="9">
        <f t="shared" si="2"/>
        <v>4196.78</v>
      </c>
    </row>
    <row r="65" spans="1:10" x14ac:dyDescent="0.25">
      <c r="A65" t="s">
        <v>99</v>
      </c>
      <c r="D65" s="9">
        <v>4000</v>
      </c>
      <c r="E65" s="9"/>
      <c r="J65" s="9">
        <f t="shared" si="2"/>
        <v>4000</v>
      </c>
    </row>
    <row r="66" spans="1:10" x14ac:dyDescent="0.25">
      <c r="A66" t="s">
        <v>100</v>
      </c>
      <c r="D66" s="9">
        <v>8350</v>
      </c>
      <c r="E66" s="9"/>
      <c r="J66" s="9">
        <f t="shared" si="2"/>
        <v>8350</v>
      </c>
    </row>
    <row r="67" spans="1:10" x14ac:dyDescent="0.25">
      <c r="A67" t="s">
        <v>101</v>
      </c>
      <c r="D67" s="9">
        <v>4221</v>
      </c>
      <c r="E67" s="9"/>
      <c r="J67" s="9">
        <f t="shared" si="2"/>
        <v>4221</v>
      </c>
    </row>
    <row r="68" spans="1:10" x14ac:dyDescent="0.25">
      <c r="A68" t="s">
        <v>102</v>
      </c>
      <c r="D68" s="9">
        <v>8466.08</v>
      </c>
      <c r="E68" s="9"/>
      <c r="J68" s="9">
        <f t="shared" si="2"/>
        <v>8466.08</v>
      </c>
    </row>
    <row r="69" spans="1:10" x14ac:dyDescent="0.25">
      <c r="A69" t="s">
        <v>103</v>
      </c>
      <c r="D69" s="9">
        <v>1322.39</v>
      </c>
      <c r="E69" s="9"/>
      <c r="J69" s="9">
        <f t="shared" si="2"/>
        <v>1322.39</v>
      </c>
    </row>
    <row r="70" spans="1:10" x14ac:dyDescent="0.25">
      <c r="A70" t="s">
        <v>104</v>
      </c>
      <c r="D70" s="9">
        <v>11737.97</v>
      </c>
      <c r="E70" s="9"/>
      <c r="J70" s="9">
        <f t="shared" si="2"/>
        <v>11737.97</v>
      </c>
    </row>
    <row r="71" spans="1:10" x14ac:dyDescent="0.25">
      <c r="A71" t="s">
        <v>105</v>
      </c>
      <c r="D71" s="9">
        <v>4942.8599999999997</v>
      </c>
      <c r="E71" s="9"/>
      <c r="J71" s="9">
        <f t="shared" si="2"/>
        <v>4942.8599999999997</v>
      </c>
    </row>
    <row r="72" spans="1:10" x14ac:dyDescent="0.25">
      <c r="A72" t="s">
        <v>106</v>
      </c>
      <c r="D72" s="9">
        <v>7163.76</v>
      </c>
      <c r="E72" s="9"/>
      <c r="J72" s="9">
        <f t="shared" si="2"/>
        <v>7163.76</v>
      </c>
    </row>
    <row r="73" spans="1:10" x14ac:dyDescent="0.25">
      <c r="A73" t="s">
        <v>107</v>
      </c>
      <c r="D73" s="9">
        <v>3961.57</v>
      </c>
      <c r="E73" s="9"/>
      <c r="J73" s="9">
        <f t="shared" si="2"/>
        <v>3961.57</v>
      </c>
    </row>
    <row r="74" spans="1:10" x14ac:dyDescent="0.25">
      <c r="A74" t="s">
        <v>108</v>
      </c>
      <c r="D74" s="9">
        <v>254</v>
      </c>
      <c r="E74" s="9"/>
      <c r="J74" s="9">
        <f t="shared" si="2"/>
        <v>254</v>
      </c>
    </row>
    <row r="75" spans="1:10" x14ac:dyDescent="0.25">
      <c r="A75" t="s">
        <v>109</v>
      </c>
      <c r="D75" s="9">
        <v>10088.42</v>
      </c>
      <c r="E75" s="9"/>
      <c r="J75" s="9">
        <f t="shared" si="2"/>
        <v>10088.42</v>
      </c>
    </row>
    <row r="76" spans="1:10" x14ac:dyDescent="0.25">
      <c r="A76" t="s">
        <v>110</v>
      </c>
      <c r="D76" s="9">
        <f>36.34+6406.95</f>
        <v>6443.29</v>
      </c>
      <c r="E76" s="9"/>
      <c r="J76" s="9">
        <f t="shared" si="2"/>
        <v>6443.29</v>
      </c>
    </row>
    <row r="77" spans="1:10" x14ac:dyDescent="0.25">
      <c r="A77" t="s">
        <v>111</v>
      </c>
      <c r="D77" s="9">
        <v>7146.77</v>
      </c>
      <c r="E77" s="9"/>
      <c r="J77" s="9">
        <f t="shared" si="2"/>
        <v>7146.77</v>
      </c>
    </row>
    <row r="78" spans="1:10" x14ac:dyDescent="0.25">
      <c r="A78" t="s">
        <v>112</v>
      </c>
      <c r="D78" s="9">
        <v>9059.08</v>
      </c>
      <c r="E78" s="9"/>
      <c r="J78" s="9">
        <f t="shared" si="2"/>
        <v>9059.08</v>
      </c>
    </row>
    <row r="79" spans="1:10" x14ac:dyDescent="0.25">
      <c r="A79" t="s">
        <v>113</v>
      </c>
      <c r="D79" s="9">
        <v>827.28</v>
      </c>
      <c r="E79" s="9"/>
      <c r="J79" s="9">
        <f t="shared" si="2"/>
        <v>827.28</v>
      </c>
    </row>
    <row r="80" spans="1:10" x14ac:dyDescent="0.25">
      <c r="A80" t="s">
        <v>114</v>
      </c>
      <c r="D80" s="9">
        <v>228084</v>
      </c>
      <c r="E80" s="9"/>
      <c r="J80" s="9">
        <f t="shared" si="2"/>
        <v>228084</v>
      </c>
    </row>
    <row r="81" spans="1:11" x14ac:dyDescent="0.25">
      <c r="A81" t="s">
        <v>115</v>
      </c>
      <c r="D81" s="9">
        <v>609.47</v>
      </c>
      <c r="E81" s="9"/>
      <c r="J81" s="9">
        <f t="shared" si="2"/>
        <v>609.47</v>
      </c>
    </row>
    <row r="82" spans="1:11" x14ac:dyDescent="0.25">
      <c r="A82" t="s">
        <v>116</v>
      </c>
      <c r="D82" s="9">
        <v>1110.8</v>
      </c>
      <c r="E82" s="9"/>
      <c r="J82" s="9">
        <f t="shared" si="2"/>
        <v>1110.8</v>
      </c>
    </row>
    <row r="83" spans="1:11" x14ac:dyDescent="0.25">
      <c r="A83" t="s">
        <v>117</v>
      </c>
      <c r="D83" s="9"/>
      <c r="E83" s="9">
        <v>6209.09</v>
      </c>
      <c r="K83" s="9">
        <v>6209.09</v>
      </c>
    </row>
    <row r="84" spans="1:11" x14ac:dyDescent="0.25">
      <c r="A84" t="s">
        <v>118</v>
      </c>
      <c r="D84" s="9"/>
      <c r="E84" s="9">
        <v>119.4</v>
      </c>
      <c r="K84" s="9">
        <v>119.4</v>
      </c>
    </row>
    <row r="85" spans="1:11" x14ac:dyDescent="0.25">
      <c r="A85" t="s">
        <v>119</v>
      </c>
      <c r="D85" s="9">
        <v>95409.8</v>
      </c>
      <c r="E85" s="9"/>
      <c r="J85" s="9">
        <f t="shared" ref="J85:J87" si="3">D85</f>
        <v>95409.8</v>
      </c>
    </row>
    <row r="86" spans="1:11" x14ac:dyDescent="0.25">
      <c r="A86" t="s">
        <v>120</v>
      </c>
      <c r="D86" s="9">
        <v>1507.09</v>
      </c>
      <c r="E86" s="9"/>
      <c r="J86" s="9">
        <f t="shared" si="3"/>
        <v>1507.09</v>
      </c>
    </row>
    <row r="87" spans="1:11" x14ac:dyDescent="0.25">
      <c r="A87" t="s">
        <v>121</v>
      </c>
      <c r="D87" s="9">
        <v>15133.67</v>
      </c>
      <c r="E87" s="9"/>
      <c r="J87" s="9">
        <f t="shared" si="3"/>
        <v>15133.67</v>
      </c>
    </row>
    <row r="88" spans="1:11" x14ac:dyDescent="0.25">
      <c r="A88" t="s">
        <v>123</v>
      </c>
      <c r="D88" s="9"/>
      <c r="E88" s="9"/>
      <c r="G88" s="9">
        <v>435</v>
      </c>
      <c r="J88">
        <v>435</v>
      </c>
    </row>
    <row r="89" spans="1:11" x14ac:dyDescent="0.25">
      <c r="D89" s="9"/>
      <c r="E89" s="9"/>
    </row>
    <row r="90" spans="1:11" x14ac:dyDescent="0.25">
      <c r="D90" s="9"/>
      <c r="E90" s="9"/>
    </row>
    <row r="91" spans="1:11" x14ac:dyDescent="0.25">
      <c r="D91" s="9">
        <f>SUM(D6:D90)</f>
        <v>12974221.630000005</v>
      </c>
      <c r="E91" s="9">
        <f>SUM(E6:E90)</f>
        <v>12974703.158848479</v>
      </c>
      <c r="G91" s="9">
        <f>SUM(G6:G90)</f>
        <v>62016.55</v>
      </c>
      <c r="H91" s="9">
        <f>SUM(H6:H90)</f>
        <v>62016.55</v>
      </c>
      <c r="J91" s="9">
        <f>SUM(J6:J90)</f>
        <v>12974656.630000006</v>
      </c>
      <c r="K91" s="9">
        <f>SUM(K6:K90)</f>
        <v>12975138.158848479</v>
      </c>
    </row>
    <row r="93" spans="1:11" x14ac:dyDescent="0.25">
      <c r="D93">
        <f>E91-D91</f>
        <v>481.52884847484529</v>
      </c>
    </row>
    <row r="94" spans="1:11" x14ac:dyDescent="0.25">
      <c r="A94" t="s">
        <v>125</v>
      </c>
    </row>
    <row r="95" spans="1:11" x14ac:dyDescent="0.25">
      <c r="A95" t="s">
        <v>126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DSCR current</vt:lpstr>
      <vt:lpstr>DSCR proposed</vt:lpstr>
      <vt:lpstr>Amort schedules</vt:lpstr>
      <vt:lpstr>audited TB</vt:lpstr>
      <vt:lpstr>'Amort schedules'!Print_Titles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Jennifer Cummins</cp:lastModifiedBy>
  <cp:lastPrinted>2021-02-01T21:38:29Z</cp:lastPrinted>
  <dcterms:created xsi:type="dcterms:W3CDTF">2021-01-27T19:10:41Z</dcterms:created>
  <dcterms:modified xsi:type="dcterms:W3CDTF">2021-02-01T21:38:30Z</dcterms:modified>
</cp:coreProperties>
</file>