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users\desktop\Valley Gas Documents\EGC reports\"/>
    </mc:Choice>
  </mc:AlternateContent>
  <xr:revisionPtr revIDLastSave="0" documentId="8_{AA777716-99B2-46CC-8055-369AB4C0B68F}" xr6:coauthVersionLast="45" xr6:coauthVersionMax="45" xr10:uidLastSave="{00000000-0000-0000-0000-000000000000}"/>
  <bookViews>
    <workbookView xWindow="-110" yWindow="-110" windowWidth="21820" windowHeight="14020" activeTab="2" xr2:uid="{00000000-000D-0000-FFFF-FFFF00000000}"/>
  </bookViews>
  <sheets>
    <sheet name="Schedule I" sheetId="1" r:id="rId1"/>
    <sheet name="Schedule II" sheetId="2" r:id="rId2"/>
    <sheet name="Schedule IV" sheetId="3" r:id="rId3"/>
    <sheet name="Data" sheetId="4" r:id="rId4"/>
  </sheets>
  <externalReferences>
    <externalReference r:id="rId5"/>
  </externalReferences>
  <definedNames>
    <definedName name="_xlnm.Print_Area" localSheetId="0">'Schedule I'!$A$1:$I$48</definedName>
    <definedName name="_xlnm.Print_Area" localSheetId="1">'Schedule II'!$A$1:$F$35</definedName>
    <definedName name="_xlnm.Print_Area" localSheetId="2">'Schedule IV'!$A$1:$K$35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4" l="1"/>
  <c r="H24" i="4"/>
  <c r="E24" i="4"/>
  <c r="D24" i="4"/>
  <c r="C24" i="4"/>
  <c r="B24" i="4"/>
  <c r="J20" i="4"/>
  <c r="J22" i="4"/>
  <c r="J21" i="4"/>
  <c r="G22" i="4"/>
  <c r="G21" i="4"/>
  <c r="G20" i="4"/>
  <c r="F22" i="4"/>
  <c r="E27" i="3" s="1"/>
  <c r="F21" i="4"/>
  <c r="D27" i="3" s="1"/>
  <c r="F20" i="4"/>
  <c r="C27" i="3" s="1"/>
  <c r="I37" i="1" l="1"/>
  <c r="L25" i="4" l="1"/>
  <c r="B14" i="2" s="1"/>
  <c r="I10" i="2"/>
  <c r="I11" i="2" s="1"/>
  <c r="P25" i="4"/>
  <c r="B16" i="2" s="1"/>
  <c r="N25" i="4"/>
  <c r="M25" i="4"/>
  <c r="O22" i="4"/>
  <c r="Q22" i="4"/>
  <c r="O21" i="4"/>
  <c r="Q21" i="4"/>
  <c r="O20" i="4"/>
  <c r="Q20" i="4"/>
  <c r="H22" i="3"/>
  <c r="J21" i="3"/>
  <c r="J22" i="3" s="1"/>
  <c r="I21" i="3"/>
  <c r="I22" i="3" s="1"/>
  <c r="H21" i="3"/>
  <c r="J17" i="3"/>
  <c r="J24" i="3" s="1"/>
  <c r="J26" i="3" s="1"/>
  <c r="J28" i="3" s="1"/>
  <c r="I17" i="3"/>
  <c r="I24" i="3" s="1"/>
  <c r="I26" i="3" s="1"/>
  <c r="I28" i="3" s="1"/>
  <c r="H17" i="3"/>
  <c r="H24" i="3" s="1"/>
  <c r="H26" i="3" s="1"/>
  <c r="H28" i="3" s="1"/>
  <c r="H31" i="3" l="1"/>
  <c r="H33" i="3" s="1"/>
  <c r="O19" i="4"/>
  <c r="O18" i="4"/>
  <c r="O17" i="4"/>
  <c r="Q19" i="4"/>
  <c r="Q18" i="4"/>
  <c r="Q17" i="4"/>
  <c r="J19" i="4"/>
  <c r="J18" i="4"/>
  <c r="J17" i="4"/>
  <c r="J16" i="4"/>
  <c r="J15" i="4"/>
  <c r="J13" i="4"/>
  <c r="J14" i="4"/>
  <c r="G19" i="4"/>
  <c r="G18" i="4"/>
  <c r="G17" i="4"/>
  <c r="F19" i="4"/>
  <c r="F18" i="4"/>
  <c r="F17" i="4"/>
  <c r="J24" i="4" l="1"/>
  <c r="O16" i="4"/>
  <c r="O15" i="4"/>
  <c r="Q16" i="4"/>
  <c r="Q15" i="4"/>
  <c r="Q14" i="4"/>
  <c r="Q25" i="4" s="1"/>
  <c r="G16" i="4"/>
  <c r="G15" i="4"/>
  <c r="G14" i="4"/>
  <c r="F16" i="4"/>
  <c r="F15" i="4"/>
  <c r="F14" i="4"/>
  <c r="G24" i="4" l="1"/>
  <c r="F24" i="4"/>
  <c r="C32" i="3" s="1"/>
  <c r="O25" i="4"/>
  <c r="I12" i="2"/>
  <c r="B15" i="2" l="1"/>
  <c r="B28" i="2"/>
  <c r="D15" i="2" l="1"/>
  <c r="H13" i="2" l="1"/>
  <c r="E14" i="2" s="1"/>
  <c r="E15" i="2" l="1"/>
  <c r="E16" i="2" s="1"/>
  <c r="K3" i="4"/>
  <c r="K4" i="4" s="1"/>
  <c r="K5" i="4" s="1"/>
  <c r="K6" i="4" s="1"/>
  <c r="K7" i="4" s="1"/>
  <c r="K8" i="4" s="1"/>
  <c r="K9" i="4" s="1"/>
  <c r="K10" i="4" s="1"/>
  <c r="K11" i="4" s="1"/>
  <c r="K12" i="4" s="1"/>
  <c r="K13" i="4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I48" i="1" l="1"/>
  <c r="I32" i="1"/>
  <c r="I23" i="1" l="1"/>
  <c r="B27" i="2"/>
  <c r="F20" i="2"/>
  <c r="F19" i="2"/>
  <c r="F18" i="2"/>
  <c r="F17" i="2"/>
  <c r="D16" i="2"/>
  <c r="F15" i="2"/>
  <c r="F16" i="2" l="1"/>
  <c r="E17" i="3"/>
  <c r="D17" i="3"/>
  <c r="D24" i="3" s="1"/>
  <c r="C21" i="3" l="1"/>
  <c r="C22" i="3" s="1"/>
  <c r="C17" i="3"/>
  <c r="C24" i="3" s="1"/>
  <c r="E24" i="3" l="1"/>
  <c r="E21" i="3" l="1"/>
  <c r="E22" i="3" s="1"/>
  <c r="D21" i="3"/>
  <c r="D22" i="3" s="1"/>
  <c r="C26" i="3" l="1"/>
  <c r="C28" i="3" s="1"/>
  <c r="D26" i="3"/>
  <c r="D28" i="3" s="1"/>
  <c r="E26" i="3"/>
  <c r="E28" i="3" s="1"/>
  <c r="I11" i="1"/>
  <c r="C31" i="3" l="1"/>
  <c r="C33" i="3" s="1"/>
  <c r="I13" i="1"/>
  <c r="I36" i="1" l="1"/>
  <c r="I40" i="1" l="1"/>
  <c r="I12" i="1" s="1"/>
  <c r="D14" i="2"/>
  <c r="F14" i="2" s="1"/>
  <c r="F25" i="2" s="1"/>
  <c r="F31" i="2" s="1"/>
  <c r="D25" i="2" l="1"/>
  <c r="E27" i="2" s="1"/>
  <c r="F32" i="2" l="1"/>
  <c r="F33" i="2" s="1"/>
  <c r="D29" i="2"/>
  <c r="F34" i="2"/>
  <c r="F35" i="2" l="1"/>
  <c r="I22" i="1" s="1"/>
  <c r="I24" i="1" s="1"/>
  <c r="I10" i="1" s="1"/>
  <c r="I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Sarah.Jankowski</author>
  </authors>
  <commentList>
    <comment ref="H8" authorId="0" shapeId="0" xr:uid="{00000000-0006-0000-0100-000001000000}">
      <text>
        <r>
          <rPr>
            <sz val="9"/>
            <color indexed="81"/>
            <rFont val="Tahoma"/>
            <family val="2"/>
          </rPr>
          <t>Fuel page is not up dated from prior application</t>
        </r>
      </text>
    </comment>
    <comment ref="B14" authorId="0" shapeId="0" xr:uid="{00000000-0006-0000-0100-000002000000}">
      <text>
        <r>
          <rPr>
            <sz val="9"/>
            <color indexed="81"/>
            <rFont val="Tahoma"/>
            <family val="2"/>
          </rPr>
          <t>Usage Pur</t>
        </r>
      </text>
    </comment>
    <comment ref="E14" authorId="0" shapeId="0" xr:uid="{00000000-0006-0000-0100-000003000000}">
      <text>
        <r>
          <rPr>
            <sz val="9"/>
            <color indexed="81"/>
            <rFont val="Tahoma"/>
            <family val="2"/>
          </rPr>
          <t>From Fuel page</t>
        </r>
      </text>
    </comment>
    <comment ref="L14" authorId="0" shapeId="0" xr:uid="{F7321968-B368-428E-ABD7-E68F12769B4C}">
      <text>
        <r>
          <rPr>
            <sz val="9"/>
            <color indexed="81"/>
            <rFont val="Tahoma"/>
            <family val="2"/>
          </rPr>
          <t>Usage Pur</t>
        </r>
      </text>
    </comment>
    <comment ref="O14" authorId="0" shapeId="0" xr:uid="{C4B67EFC-10C6-429D-8E37-862A8FD2E509}">
      <text>
        <r>
          <rPr>
            <sz val="9"/>
            <color indexed="81"/>
            <rFont val="Tahoma"/>
            <family val="2"/>
          </rPr>
          <t>From Fuel page</t>
        </r>
      </text>
    </comment>
    <comment ref="B15" authorId="0" shapeId="0" xr:uid="{00000000-0006-0000-0100-000004000000}">
      <text>
        <r>
          <rPr>
            <sz val="9"/>
            <color indexed="81"/>
            <rFont val="Tahoma"/>
            <family val="2"/>
          </rPr>
          <t>Industrial Usage</t>
        </r>
      </text>
    </comment>
    <comment ref="L15" authorId="0" shapeId="0" xr:uid="{7F1E3090-B584-4D11-86B7-C2824CF47DA0}">
      <text>
        <r>
          <rPr>
            <sz val="9"/>
            <color indexed="81"/>
            <rFont val="Tahoma"/>
            <family val="2"/>
          </rPr>
          <t>Industrial Usage</t>
        </r>
      </text>
    </comment>
    <comment ref="B16" authorId="0" shapeId="0" xr:uid="{00000000-0006-0000-0100-000005000000}">
      <text>
        <r>
          <rPr>
            <sz val="9"/>
            <color indexed="81"/>
            <rFont val="Tahoma"/>
            <family val="2"/>
          </rPr>
          <t>From Storage Summary: End Bal</t>
        </r>
      </text>
    </comment>
    <comment ref="L16" authorId="0" shapeId="0" xr:uid="{1ED9CC21-4BEC-4616-8D60-401227B6C848}">
      <text>
        <r>
          <rPr>
            <sz val="9"/>
            <color indexed="81"/>
            <rFont val="Tahoma"/>
            <family val="2"/>
          </rPr>
          <t>From Storage Summary: End Bal</t>
        </r>
      </text>
    </comment>
  </commentList>
</comments>
</file>

<file path=xl/sharedStrings.xml><?xml version="1.0" encoding="utf-8"?>
<sst xmlns="http://schemas.openxmlformats.org/spreadsheetml/2006/main" count="182" uniqueCount="118">
  <si>
    <t>SCHEDULE I</t>
  </si>
  <si>
    <t>GAS COST RECOVERY RATE SUMMARY</t>
  </si>
  <si>
    <t>Component</t>
  </si>
  <si>
    <t>Unit</t>
  </si>
  <si>
    <t>Amount</t>
  </si>
  <si>
    <t>$/Mcf</t>
  </si>
  <si>
    <t>Refund Adjustment (RA)</t>
  </si>
  <si>
    <t>Actual Adjustment (AA)</t>
  </si>
  <si>
    <t>Balance Adjustment (BA)</t>
  </si>
  <si>
    <t>Gas Cost Recovery Rate (GCR)</t>
  </si>
  <si>
    <t>A. EXPECTED GAS COST CALCULATION</t>
  </si>
  <si>
    <t>Total Expected Gas Cost (Sch II)</t>
  </si>
  <si>
    <t>Expected Gas Cost</t>
  </si>
  <si>
    <t>B. REFUND ADJUSTMENT CALCULATION</t>
  </si>
  <si>
    <t>Supplier Refund Adjustment for Reporting Period (Sch III)</t>
  </si>
  <si>
    <t>+Previous Quarter Supplier Refund Adjustment</t>
  </si>
  <si>
    <t>+Second Previous Quarter Supplier Refund Adjustment</t>
  </si>
  <si>
    <t>+Third Previous Quarter Supplier Refund Adjustment</t>
  </si>
  <si>
    <t>=Refund Adjustment (RA)</t>
  </si>
  <si>
    <t>$ Mcf</t>
  </si>
  <si>
    <t>C. ACTUAL ADJUSTMENT CALCULATION</t>
  </si>
  <si>
    <t>Actual Adjustment for the Reporting Period (Sch IV)</t>
  </si>
  <si>
    <t>+Previous Quarter Reported Actual Adjustment</t>
  </si>
  <si>
    <t>+Second Previous Quarter Reported Actual Adjustment</t>
  </si>
  <si>
    <t>+Third Previous Quarter Reported Actual Adjustment</t>
  </si>
  <si>
    <t>=Actual Adjustment (AA)</t>
  </si>
  <si>
    <t>D. BALANCE ADJUSTMENT CALCULATION</t>
  </si>
  <si>
    <t>Balance Adjustment for the Reporting Period (Sch V)</t>
  </si>
  <si>
    <t>+Previous Quarter Reported Balance Adjustment</t>
  </si>
  <si>
    <t>+Second Previous Quarter Reported Balance Adjustment</t>
  </si>
  <si>
    <t>+Third Previous Quarter Reported Balance Adjustment</t>
  </si>
  <si>
    <t>=Balance Adjustment (BA)</t>
  </si>
  <si>
    <t>SCHEDULE II</t>
  </si>
  <si>
    <t>EXPECTED GAS COST</t>
  </si>
  <si>
    <t xml:space="preserve">Actual Mcf Purchases for 12 months ended </t>
  </si>
  <si>
    <t>(1)</t>
  </si>
  <si>
    <t>(2)</t>
  </si>
  <si>
    <t>(3)</t>
  </si>
  <si>
    <t>(4)</t>
  </si>
  <si>
    <t>(5)</t>
  </si>
  <si>
    <t>(6)</t>
  </si>
  <si>
    <t>Btu</t>
  </si>
  <si>
    <t>(4) x (5)</t>
  </si>
  <si>
    <t>Supplier</t>
  </si>
  <si>
    <t>Conversion Factor</t>
  </si>
  <si>
    <t>Mcf</t>
  </si>
  <si>
    <t>Cost</t>
  </si>
  <si>
    <t>Totals</t>
  </si>
  <si>
    <t xml:space="preserve">Line loss for 12 months ended </t>
  </si>
  <si>
    <t>is based on purchases of</t>
  </si>
  <si>
    <t>and sales of</t>
  </si>
  <si>
    <t>Total Expected Cost of Purchases (6)</t>
  </si>
  <si>
    <t>/ Mcf Purchases (4)</t>
  </si>
  <si>
    <t>= Average Expected Cost Per Mcf Purchased</t>
  </si>
  <si>
    <t>= Total Expected Gas Cost (to Schedule IA)</t>
  </si>
  <si>
    <t>SCHEDULE IV</t>
  </si>
  <si>
    <t>ACTUAL ADJUSTMENT</t>
  </si>
  <si>
    <t>Particulars</t>
  </si>
  <si>
    <t>Total Supply Volumes Purchased</t>
  </si>
  <si>
    <t>$</t>
  </si>
  <si>
    <t>= Unit Cost of Gas</t>
  </si>
  <si>
    <t>- EGC in Effect for Month</t>
  </si>
  <si>
    <t>= Difference</t>
  </si>
  <si>
    <t>x Actual Sales during Month</t>
  </si>
  <si>
    <t>= Monthly Cost Difference</t>
  </si>
  <si>
    <t>Total Cost Difference</t>
  </si>
  <si>
    <t>= Actual Adjustment for the Reporting Period (to Sch IC)</t>
  </si>
  <si>
    <t>For the 12 month period ended</t>
  </si>
  <si>
    <t xml:space="preserve">/ Sales for 12 months ended </t>
  </si>
  <si>
    <t>/Sales for the 12 months ended</t>
  </si>
  <si>
    <t>Expected Gas Cost (EGC)</t>
  </si>
  <si>
    <t>Rates to be effective for service rendered from</t>
  </si>
  <si>
    <t xml:space="preserve"> </t>
  </si>
  <si>
    <t>Constellation Energy</t>
  </si>
  <si>
    <t>Mcf Rate</t>
  </si>
  <si>
    <t xml:space="preserve">Dth </t>
  </si>
  <si>
    <t>Mago Volumes</t>
  </si>
  <si>
    <t>Storage Volume</t>
  </si>
  <si>
    <t>DTH</t>
  </si>
  <si>
    <t>- Mago Purchases</t>
  </si>
  <si>
    <t xml:space="preserve">Total Cost of Volumes Purchased </t>
  </si>
  <si>
    <t>Total Cost Of Volumes (Mago excluded)</t>
  </si>
  <si>
    <t>MCF</t>
  </si>
  <si>
    <t>- Mago Sales</t>
  </si>
  <si>
    <t>Total GCA Sales</t>
  </si>
  <si>
    <t>Total System  (flowed thru city gate)</t>
  </si>
  <si>
    <t xml:space="preserve">*Total Sales Volumes Purchased   </t>
  </si>
  <si>
    <t>*may not be more than .95% of supply volumes purchased</t>
  </si>
  <si>
    <t>MCF x CF = DTH</t>
  </si>
  <si>
    <t>x Allowable Mcf Purchases (must not exceed Mcf sales / .95)</t>
  </si>
  <si>
    <t>Reporting Period used in the calculations</t>
  </si>
  <si>
    <t>USAGE PUR</t>
  </si>
  <si>
    <t>Industrial Usage</t>
  </si>
  <si>
    <t>TOTAL GAS COST</t>
  </si>
  <si>
    <t>USAGE THRU CITY GAGE</t>
  </si>
  <si>
    <t>Total Usage</t>
  </si>
  <si>
    <t>THE EXPECTED GAS COST</t>
  </si>
  <si>
    <t>Date</t>
  </si>
  <si>
    <t>Residential Usage</t>
  </si>
  <si>
    <t>Residential Revenue</t>
  </si>
  <si>
    <t>Commerical Usage</t>
  </si>
  <si>
    <t>Commerical Revenue</t>
  </si>
  <si>
    <t>Total Resid &amp; Comm Usage</t>
  </si>
  <si>
    <t>Total Resid &amp; Comm Revenue</t>
  </si>
  <si>
    <t>Industrial Revenue</t>
  </si>
  <si>
    <t>total</t>
  </si>
  <si>
    <t>Purchases</t>
  </si>
  <si>
    <t>Usage Pur</t>
  </si>
  <si>
    <t>Monthly Gas Cost</t>
  </si>
  <si>
    <t>Transportation Cost</t>
  </si>
  <si>
    <t>Usage Thru City Gate</t>
  </si>
  <si>
    <t>Inventory Volume</t>
  </si>
  <si>
    <t>Total Gas Cost</t>
  </si>
  <si>
    <t>Overall $$$ per Mcf</t>
  </si>
  <si>
    <t>From fuel page</t>
  </si>
  <si>
    <t>Purchased are DTH and sales are MCF</t>
  </si>
  <si>
    <t>[Calculation]</t>
  </si>
  <si>
    <t>DR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</si>
</sst>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[Red]\(&quot;$&quot;#,##0.0000\)"/>
    <numFmt numFmtId="165" formatCode="mmmm\ d\,\ yyyy"/>
    <numFmt numFmtId="166" formatCode="_(* #,##0_);_(* \(#,##0\);_(* &quot;-&quot;??_);_(@_)"/>
    <numFmt numFmtId="167" formatCode="_(* #,##0.0_);_(* \(#,##0.0\);_(* &quot;-&quot;??_);_(@_)"/>
    <numFmt numFmtId="168" formatCode="[$-409]mmmm\ d\,\ yyyy;@"/>
    <numFmt numFmtId="169" formatCode="[$-409]mmm\-yy;@"/>
    <numFmt numFmtId="170" formatCode="0.0000"/>
    <numFmt numFmtId="171" formatCode="_(&quot;$&quot;* #,##0_);_(&quot;$&quot;* \(#,##0\);_(&quot;$&quot;* &quot;-&quot;??_);_(@_)"/>
    <numFmt numFmtId="172" formatCode="&quot;$&quot;#,##0.0000_);\(&quot;$&quot;#,##0.0000\)"/>
    <numFmt numFmtId="173" formatCode="mmmm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i/>
      <sz val="12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8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i/>
      <sz val="12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164" fontId="3" fillId="0" borderId="0" xfId="0" applyNumberFormat="1" applyFont="1"/>
    <xf numFmtId="0" fontId="3" fillId="0" borderId="1" xfId="0" applyFont="1" applyBorder="1"/>
    <xf numFmtId="0" fontId="3" fillId="0" borderId="1" xfId="0" quotePrefix="1" applyFont="1" applyBorder="1" applyAlignment="1">
      <alignment horizontal="center"/>
    </xf>
    <xf numFmtId="164" fontId="3" fillId="0" borderId="1" xfId="0" applyNumberFormat="1" applyFont="1" applyBorder="1"/>
    <xf numFmtId="0" fontId="3" fillId="0" borderId="2" xfId="0" applyFont="1" applyBorder="1"/>
    <xf numFmtId="0" fontId="3" fillId="0" borderId="0" xfId="0" applyFont="1" applyBorder="1"/>
    <xf numFmtId="8" fontId="3" fillId="0" borderId="0" xfId="0" applyNumberFormat="1" applyFont="1"/>
    <xf numFmtId="0" fontId="3" fillId="0" borderId="1" xfId="0" quotePrefix="1" applyFont="1" applyBorder="1"/>
    <xf numFmtId="0" fontId="3" fillId="0" borderId="0" xfId="0" quotePrefix="1" applyFont="1"/>
    <xf numFmtId="166" fontId="3" fillId="0" borderId="0" xfId="1" applyNumberFormat="1" applyFont="1"/>
    <xf numFmtId="166" fontId="3" fillId="0" borderId="1" xfId="1" applyNumberFormat="1" applyFont="1" applyBorder="1"/>
    <xf numFmtId="10" fontId="3" fillId="0" borderId="0" xfId="2" applyNumberFormat="1" applyFont="1"/>
    <xf numFmtId="8" fontId="3" fillId="0" borderId="0" xfId="0" applyNumberFormat="1" applyFont="1" applyBorder="1"/>
    <xf numFmtId="167" fontId="3" fillId="0" borderId="1" xfId="1" applyNumberFormat="1" applyFont="1" applyBorder="1"/>
    <xf numFmtId="17" fontId="3" fillId="0" borderId="0" xfId="0" applyNumberFormat="1" applyFont="1" applyFill="1" applyBorder="1"/>
    <xf numFmtId="0" fontId="3" fillId="0" borderId="0" xfId="0" applyFont="1" applyFill="1" applyBorder="1" applyAlignment="1"/>
    <xf numFmtId="8" fontId="3" fillId="0" borderId="0" xfId="0" applyNumberFormat="1" applyFont="1" applyFill="1" applyBorder="1"/>
    <xf numFmtId="167" fontId="3" fillId="0" borderId="0" xfId="1" applyNumberFormat="1" applyFont="1" applyFill="1" applyBorder="1"/>
    <xf numFmtId="164" fontId="3" fillId="0" borderId="0" xfId="0" applyNumberFormat="1" applyFont="1" applyFill="1" applyBorder="1"/>
    <xf numFmtId="17" fontId="5" fillId="0" borderId="1" xfId="0" applyNumberFormat="1" applyFont="1" applyBorder="1" applyAlignment="1">
      <alignment horizontal="center"/>
    </xf>
    <xf numFmtId="168" fontId="3" fillId="0" borderId="0" xfId="0" applyNumberFormat="1" applyFont="1" applyFill="1"/>
    <xf numFmtId="0" fontId="3" fillId="0" borderId="0" xfId="0" applyFont="1" applyFill="1"/>
    <xf numFmtId="0" fontId="1" fillId="0" borderId="0" xfId="0" applyFont="1"/>
    <xf numFmtId="0" fontId="3" fillId="0" borderId="0" xfId="0" applyFont="1" applyFill="1" applyBorder="1"/>
    <xf numFmtId="17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0" fillId="0" borderId="0" xfId="0" applyNumberFormat="1"/>
    <xf numFmtId="0" fontId="3" fillId="0" borderId="0" xfId="0" quotePrefix="1" applyFont="1" applyBorder="1"/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/>
    <xf numFmtId="8" fontId="3" fillId="0" borderId="0" xfId="0" applyNumberFormat="1" applyFont="1" applyFill="1"/>
    <xf numFmtId="0" fontId="3" fillId="0" borderId="0" xfId="0" quotePrefix="1" applyFont="1" applyFill="1" applyAlignment="1">
      <alignment horizontal="center"/>
    </xf>
    <xf numFmtId="164" fontId="3" fillId="0" borderId="0" xfId="0" applyNumberFormat="1" applyFont="1" applyFill="1"/>
    <xf numFmtId="0" fontId="3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3" fillId="0" borderId="1" xfId="1" applyNumberFormat="1" applyFont="1" applyBorder="1"/>
    <xf numFmtId="43" fontId="3" fillId="0" borderId="1" xfId="0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43" fontId="3" fillId="0" borderId="1" xfId="1" quotePrefix="1" applyFont="1" applyBorder="1"/>
    <xf numFmtId="164" fontId="3" fillId="2" borderId="1" xfId="0" applyNumberFormat="1" applyFont="1" applyFill="1" applyBorder="1"/>
    <xf numFmtId="168" fontId="3" fillId="0" borderId="0" xfId="0" applyNumberFormat="1" applyFont="1" applyFill="1" applyBorder="1"/>
    <xf numFmtId="17" fontId="4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/>
    <xf numFmtId="1" fontId="3" fillId="0" borderId="0" xfId="0" applyNumberFormat="1" applyFont="1"/>
    <xf numFmtId="43" fontId="3" fillId="0" borderId="0" xfId="1" applyNumberFormat="1" applyFont="1"/>
    <xf numFmtId="14" fontId="3" fillId="0" borderId="1" xfId="0" applyNumberFormat="1" applyFont="1" applyFill="1" applyBorder="1"/>
    <xf numFmtId="43" fontId="3" fillId="0" borderId="0" xfId="0" applyNumberFormat="1" applyFont="1"/>
    <xf numFmtId="168" fontId="3" fillId="2" borderId="0" xfId="0" applyNumberFormat="1" applyFont="1" applyFill="1"/>
    <xf numFmtId="165" fontId="3" fillId="0" borderId="1" xfId="0" quotePrefix="1" applyNumberFormat="1" applyFont="1" applyFill="1" applyBorder="1"/>
    <xf numFmtId="164" fontId="7" fillId="0" borderId="0" xfId="0" applyNumberFormat="1" applyFont="1"/>
    <xf numFmtId="8" fontId="7" fillId="0" borderId="0" xfId="0" applyNumberFormat="1" applyFont="1"/>
    <xf numFmtId="0" fontId="8" fillId="0" borderId="0" xfId="0" applyFont="1" applyAlignment="1">
      <alignment horizontal="left" vertical="center"/>
    </xf>
    <xf numFmtId="168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7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" fontId="8" fillId="0" borderId="0" xfId="0" applyNumberFormat="1" applyFont="1" applyFill="1" applyBorder="1" applyAlignment="1">
      <alignment horizontal="left" vertical="center"/>
    </xf>
    <xf numFmtId="8" fontId="8" fillId="0" borderId="0" xfId="0" applyNumberFormat="1" applyFont="1" applyFill="1" applyBorder="1" applyAlignment="1">
      <alignment horizontal="left" vertical="center"/>
    </xf>
    <xf numFmtId="167" fontId="8" fillId="0" borderId="0" xfId="1" applyNumberFormat="1" applyFont="1" applyFill="1" applyBorder="1" applyAlignment="1">
      <alignment horizontal="left" vertical="center"/>
    </xf>
    <xf numFmtId="164" fontId="8" fillId="0" borderId="0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indent="1"/>
    </xf>
    <xf numFmtId="168" fontId="10" fillId="0" borderId="0" xfId="0" applyNumberFormat="1" applyFont="1" applyFill="1" applyAlignment="1">
      <alignment horizontal="left" vertical="center" indent="1"/>
    </xf>
    <xf numFmtId="0" fontId="10" fillId="0" borderId="0" xfId="0" applyFont="1" applyFill="1" applyAlignment="1">
      <alignment horizontal="left" vertical="center" indent="1"/>
    </xf>
    <xf numFmtId="17" fontId="11" fillId="0" borderId="0" xfId="0" applyNumberFormat="1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 indent="1"/>
    </xf>
    <xf numFmtId="1" fontId="10" fillId="0" borderId="0" xfId="0" applyNumberFormat="1" applyFont="1" applyFill="1" applyBorder="1" applyAlignment="1">
      <alignment horizontal="left" vertical="center" indent="1"/>
    </xf>
    <xf numFmtId="8" fontId="10" fillId="0" borderId="0" xfId="0" applyNumberFormat="1" applyFont="1" applyFill="1" applyBorder="1" applyAlignment="1">
      <alignment horizontal="left" vertical="center" indent="1"/>
    </xf>
    <xf numFmtId="167" fontId="10" fillId="0" borderId="0" xfId="1" applyNumberFormat="1" applyFont="1" applyFill="1" applyBorder="1" applyAlignment="1">
      <alignment horizontal="left" vertical="center" indent="1"/>
    </xf>
    <xf numFmtId="164" fontId="10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/>
    <xf numFmtId="0" fontId="0" fillId="0" borderId="0" xfId="0" applyAlignment="1"/>
    <xf numFmtId="167" fontId="12" fillId="0" borderId="0" xfId="1" applyNumberFormat="1" applyFont="1" applyFill="1" applyBorder="1" applyAlignment="1">
      <alignment horizontal="left" vertical="center"/>
    </xf>
    <xf numFmtId="16" fontId="3" fillId="0" borderId="0" xfId="0" applyNumberFormat="1" applyFont="1"/>
    <xf numFmtId="0" fontId="13" fillId="0" borderId="6" xfId="0" applyFont="1" applyBorder="1" applyAlignment="1">
      <alignment horizontal="center" vertical="center" wrapText="1"/>
    </xf>
    <xf numFmtId="16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9" fontId="13" fillId="0" borderId="4" xfId="0" applyNumberFormat="1" applyFont="1" applyBorder="1" applyAlignment="1">
      <alignment horizontal="center"/>
    </xf>
    <xf numFmtId="0" fontId="13" fillId="0" borderId="0" xfId="0" applyFont="1"/>
    <xf numFmtId="0" fontId="0" fillId="0" borderId="4" xfId="0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69" fontId="0" fillId="3" borderId="4" xfId="0" applyNumberFormat="1" applyFill="1" applyBorder="1" applyAlignment="1">
      <alignment horizontal="center"/>
    </xf>
    <xf numFmtId="169" fontId="0" fillId="3" borderId="4" xfId="0" applyNumberFormat="1" applyFill="1" applyBorder="1" applyAlignment="1">
      <alignment horizontal="center" vertical="center"/>
    </xf>
    <xf numFmtId="44" fontId="13" fillId="0" borderId="3" xfId="3" applyFont="1" applyBorder="1" applyAlignment="1">
      <alignment horizontal="center" vertical="center" wrapText="1"/>
    </xf>
    <xf numFmtId="44" fontId="0" fillId="0" borderId="0" xfId="3" applyFont="1" applyBorder="1" applyAlignment="1">
      <alignment horizontal="center" vertical="center"/>
    </xf>
    <xf numFmtId="44" fontId="0" fillId="0" borderId="0" xfId="3" applyFont="1" applyBorder="1"/>
    <xf numFmtId="167" fontId="13" fillId="0" borderId="3" xfId="1" applyNumberFormat="1" applyFont="1" applyBorder="1" applyAlignment="1">
      <alignment horizontal="center" vertical="center" wrapText="1"/>
    </xf>
    <xf numFmtId="167" fontId="0" fillId="0" borderId="0" xfId="1" applyNumberFormat="1" applyFont="1" applyBorder="1" applyAlignment="1">
      <alignment horizontal="center" vertical="center"/>
    </xf>
    <xf numFmtId="167" fontId="13" fillId="0" borderId="0" xfId="1" applyNumberFormat="1" applyFont="1" applyBorder="1" applyAlignment="1">
      <alignment horizontal="center" vertical="center"/>
    </xf>
    <xf numFmtId="167" fontId="0" fillId="0" borderId="0" xfId="1" applyNumberFormat="1" applyFont="1" applyBorder="1"/>
    <xf numFmtId="167" fontId="0" fillId="3" borderId="0" xfId="1" applyNumberFormat="1" applyFont="1" applyFill="1" applyBorder="1" applyAlignment="1">
      <alignment horizontal="center" vertical="center"/>
    </xf>
    <xf numFmtId="167" fontId="0" fillId="0" borderId="5" xfId="1" applyNumberFormat="1" applyFont="1" applyBorder="1" applyAlignment="1">
      <alignment horizontal="center" vertical="center"/>
    </xf>
    <xf numFmtId="167" fontId="0" fillId="3" borderId="5" xfId="1" applyNumberFormat="1" applyFont="1" applyFill="1" applyBorder="1" applyAlignment="1">
      <alignment horizontal="center" vertical="center"/>
    </xf>
    <xf numFmtId="167" fontId="0" fillId="0" borderId="5" xfId="1" applyNumberFormat="1" applyFont="1" applyBorder="1"/>
    <xf numFmtId="167" fontId="13" fillId="0" borderId="0" xfId="1" applyNumberFormat="1" applyFont="1"/>
    <xf numFmtId="44" fontId="13" fillId="0" borderId="3" xfId="3" applyNumberFormat="1" applyFont="1" applyBorder="1" applyAlignment="1">
      <alignment horizontal="center" vertical="center" wrapText="1"/>
    </xf>
    <xf numFmtId="44" fontId="0" fillId="0" borderId="0" xfId="3" applyNumberFormat="1" applyFont="1" applyBorder="1" applyAlignment="1">
      <alignment horizontal="center" vertical="center"/>
    </xf>
    <xf numFmtId="44" fontId="13" fillId="0" borderId="0" xfId="3" applyNumberFormat="1" applyFont="1"/>
    <xf numFmtId="44" fontId="13" fillId="0" borderId="7" xfId="3" applyNumberFormat="1" applyFont="1" applyBorder="1" applyAlignment="1">
      <alignment horizontal="center" vertical="center" wrapText="1"/>
    </xf>
    <xf numFmtId="44" fontId="0" fillId="0" borderId="5" xfId="3" applyNumberFormat="1" applyFont="1" applyBorder="1" applyAlignment="1">
      <alignment horizontal="center" vertical="center"/>
    </xf>
    <xf numFmtId="44" fontId="0" fillId="3" borderId="5" xfId="3" applyNumberFormat="1" applyFont="1" applyFill="1" applyBorder="1" applyAlignment="1">
      <alignment horizontal="center" vertical="center"/>
    </xf>
    <xf numFmtId="44" fontId="13" fillId="0" borderId="5" xfId="3" applyNumberFormat="1" applyFont="1" applyBorder="1"/>
    <xf numFmtId="166" fontId="0" fillId="0" borderId="0" xfId="1" applyNumberFormat="1" applyFont="1" applyBorder="1" applyAlignment="1">
      <alignment horizontal="center" vertical="center"/>
    </xf>
    <xf numFmtId="166" fontId="0" fillId="3" borderId="0" xfId="1" applyNumberFormat="1" applyFont="1" applyFill="1" applyBorder="1" applyAlignment="1">
      <alignment horizontal="center" vertical="center"/>
    </xf>
    <xf numFmtId="166" fontId="13" fillId="0" borderId="0" xfId="1" applyNumberFormat="1" applyFont="1"/>
    <xf numFmtId="0" fontId="14" fillId="0" borderId="0" xfId="0" applyFont="1" applyFill="1"/>
    <xf numFmtId="167" fontId="0" fillId="0" borderId="0" xfId="1" applyNumberFormat="1" applyFont="1" applyBorder="1" applyAlignment="1">
      <alignment horizontal="left" vertical="center"/>
    </xf>
    <xf numFmtId="43" fontId="7" fillId="0" borderId="0" xfId="1" applyNumberFormat="1" applyFont="1" applyFill="1" applyBorder="1"/>
    <xf numFmtId="0" fontId="2" fillId="0" borderId="0" xfId="0" applyFont="1" applyFill="1" applyBorder="1" applyAlignment="1">
      <alignment horizontal="left" vertical="center" indent="1"/>
    </xf>
    <xf numFmtId="167" fontId="0" fillId="0" borderId="0" xfId="1" applyNumberFormat="1" applyFont="1" applyFill="1" applyBorder="1" applyAlignment="1">
      <alignment horizontal="center" vertical="center"/>
    </xf>
    <xf numFmtId="169" fontId="13" fillId="0" borderId="4" xfId="0" applyNumberFormat="1" applyFont="1" applyBorder="1" applyAlignment="1">
      <alignment horizontal="left"/>
    </xf>
    <xf numFmtId="0" fontId="3" fillId="2" borderId="0" xfId="0" applyFont="1" applyFill="1"/>
    <xf numFmtId="166" fontId="3" fillId="2" borderId="0" xfId="1" applyNumberFormat="1" applyFont="1" applyFill="1"/>
    <xf numFmtId="8" fontId="3" fillId="2" borderId="0" xfId="0" applyNumberFormat="1" applyFont="1" applyFill="1"/>
    <xf numFmtId="0" fontId="3" fillId="2" borderId="0" xfId="0" applyFont="1" applyFill="1" applyAlignment="1"/>
    <xf numFmtId="167" fontId="3" fillId="2" borderId="0" xfId="1" applyNumberFormat="1" applyFont="1" applyFill="1" applyBorder="1"/>
    <xf numFmtId="170" fontId="3" fillId="2" borderId="1" xfId="0" applyNumberFormat="1" applyFont="1" applyFill="1" applyBorder="1"/>
    <xf numFmtId="43" fontId="3" fillId="2" borderId="3" xfId="1" applyNumberFormat="1" applyFont="1" applyFill="1" applyBorder="1"/>
    <xf numFmtId="44" fontId="0" fillId="3" borderId="0" xfId="3" applyFont="1" applyFill="1" applyBorder="1" applyAlignment="1">
      <alignment horizontal="center" vertical="center"/>
    </xf>
    <xf numFmtId="44" fontId="0" fillId="3" borderId="0" xfId="3" applyNumberFormat="1" applyFont="1" applyFill="1" applyBorder="1" applyAlignment="1">
      <alignment horizontal="center" vertical="center"/>
    </xf>
    <xf numFmtId="167" fontId="13" fillId="3" borderId="3" xfId="1" applyNumberFormat="1" applyFont="1" applyFill="1" applyBorder="1" applyAlignment="1">
      <alignment horizontal="center" vertical="center" wrapText="1"/>
    </xf>
    <xf numFmtId="167" fontId="13" fillId="3" borderId="7" xfId="1" applyNumberFormat="1" applyFont="1" applyFill="1" applyBorder="1" applyAlignment="1">
      <alignment horizontal="center" vertical="center" wrapText="1"/>
    </xf>
    <xf numFmtId="166" fontId="13" fillId="3" borderId="3" xfId="1" applyNumberFormat="1" applyFont="1" applyFill="1" applyBorder="1" applyAlignment="1">
      <alignment horizontal="center" vertical="center" wrapText="1"/>
    </xf>
    <xf numFmtId="169" fontId="0" fillId="0" borderId="4" xfId="0" applyNumberFormat="1" applyFill="1" applyBorder="1" applyAlignment="1">
      <alignment horizontal="center"/>
    </xf>
    <xf numFmtId="44" fontId="0" fillId="0" borderId="0" xfId="3" applyFont="1" applyFill="1" applyBorder="1" applyAlignment="1">
      <alignment horizontal="center" vertical="center"/>
    </xf>
    <xf numFmtId="167" fontId="0" fillId="0" borderId="5" xfId="1" applyNumberFormat="1" applyFont="1" applyFill="1" applyBorder="1" applyAlignment="1">
      <alignment horizontal="center" vertical="center"/>
    </xf>
    <xf numFmtId="169" fontId="0" fillId="0" borderId="4" xfId="0" applyNumberFormat="1" applyFill="1" applyBorder="1" applyAlignment="1">
      <alignment horizontal="center" vertical="center"/>
    </xf>
    <xf numFmtId="166" fontId="0" fillId="0" borderId="0" xfId="1" applyNumberFormat="1" applyFont="1" applyFill="1" applyBorder="1" applyAlignment="1">
      <alignment horizontal="center" vertical="center"/>
    </xf>
    <xf numFmtId="44" fontId="0" fillId="0" borderId="0" xfId="3" applyNumberFormat="1" applyFont="1" applyFill="1" applyBorder="1" applyAlignment="1">
      <alignment horizontal="center" vertical="center"/>
    </xf>
    <xf numFmtId="44" fontId="0" fillId="0" borderId="5" xfId="3" applyNumberFormat="1" applyFont="1" applyFill="1" applyBorder="1" applyAlignment="1">
      <alignment horizontal="center" vertical="center"/>
    </xf>
    <xf numFmtId="0" fontId="0" fillId="0" borderId="0" xfId="0" applyFill="1"/>
    <xf numFmtId="170" fontId="3" fillId="2" borderId="0" xfId="0" applyNumberFormat="1" applyFont="1" applyFill="1"/>
    <xf numFmtId="37" fontId="3" fillId="2" borderId="1" xfId="0" applyNumberFormat="1" applyFont="1" applyFill="1" applyBorder="1"/>
    <xf numFmtId="0" fontId="13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3" fillId="0" borderId="0" xfId="0" applyFont="1" applyFill="1"/>
    <xf numFmtId="171" fontId="13" fillId="3" borderId="0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/>
    <xf numFmtId="39" fontId="3" fillId="0" borderId="0" xfId="0" applyNumberFormat="1" applyFont="1"/>
    <xf numFmtId="39" fontId="3" fillId="0" borderId="1" xfId="0" applyNumberFormat="1" applyFont="1" applyBorder="1"/>
    <xf numFmtId="172" fontId="3" fillId="0" borderId="0" xfId="0" applyNumberFormat="1" applyFont="1"/>
    <xf numFmtId="172" fontId="3" fillId="2" borderId="0" xfId="0" applyNumberFormat="1" applyFont="1" applyFill="1"/>
    <xf numFmtId="172" fontId="3" fillId="2" borderId="1" xfId="0" applyNumberFormat="1" applyFont="1" applyFill="1" applyBorder="1"/>
    <xf numFmtId="172" fontId="3" fillId="0" borderId="1" xfId="0" applyNumberFormat="1" applyFont="1" applyBorder="1" applyAlignment="1">
      <alignment horizontal="center"/>
    </xf>
    <xf numFmtId="0" fontId="16" fillId="0" borderId="0" xfId="0" applyFont="1"/>
    <xf numFmtId="43" fontId="3" fillId="0" borderId="1" xfId="1" applyFont="1" applyBorder="1"/>
    <xf numFmtId="173" fontId="3" fillId="0" borderId="0" xfId="0" applyNumberFormat="1" applyFont="1"/>
    <xf numFmtId="169" fontId="0" fillId="4" borderId="4" xfId="0" applyNumberFormat="1" applyFill="1" applyBorder="1" applyAlignment="1">
      <alignment horizontal="center"/>
    </xf>
    <xf numFmtId="167" fontId="0" fillId="4" borderId="0" xfId="1" applyNumberFormat="1" applyFont="1" applyFill="1" applyBorder="1" applyAlignment="1">
      <alignment horizontal="center" vertical="center"/>
    </xf>
    <xf numFmtId="44" fontId="0" fillId="4" borderId="0" xfId="3" applyFont="1" applyFill="1" applyBorder="1" applyAlignment="1">
      <alignment horizontal="center" vertical="center"/>
    </xf>
    <xf numFmtId="167" fontId="0" fillId="4" borderId="5" xfId="1" applyNumberFormat="1" applyFont="1" applyFill="1" applyBorder="1" applyAlignment="1">
      <alignment horizontal="center" vertical="center"/>
    </xf>
    <xf numFmtId="169" fontId="0" fillId="4" borderId="4" xfId="0" applyNumberFormat="1" applyFill="1" applyBorder="1" applyAlignment="1">
      <alignment horizontal="center" vertical="center"/>
    </xf>
    <xf numFmtId="166" fontId="0" fillId="4" borderId="0" xfId="1" applyNumberFormat="1" applyFont="1" applyFill="1" applyBorder="1" applyAlignment="1">
      <alignment horizontal="center" vertical="center"/>
    </xf>
    <xf numFmtId="44" fontId="0" fillId="4" borderId="0" xfId="3" applyNumberFormat="1" applyFont="1" applyFill="1" applyBorder="1" applyAlignment="1">
      <alignment horizontal="center" vertical="center"/>
    </xf>
    <xf numFmtId="44" fontId="0" fillId="4" borderId="5" xfId="3" applyNumberFormat="1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167" fontId="1" fillId="4" borderId="0" xfId="1" applyNumberFormat="1" applyFont="1" applyFill="1" applyBorder="1" applyAlignment="1">
      <alignment horizontal="left" vertical="center"/>
    </xf>
    <xf numFmtId="167" fontId="1" fillId="0" borderId="0" xfId="1" applyNumberFormat="1" applyFont="1" applyFill="1" applyBorder="1" applyAlignment="1">
      <alignment horizontal="left" vertical="center"/>
    </xf>
    <xf numFmtId="167" fontId="0" fillId="5" borderId="0" xfId="1" applyNumberFormat="1" applyFont="1" applyFill="1" applyBorder="1" applyAlignment="1">
      <alignment horizontal="center" vertical="center"/>
    </xf>
    <xf numFmtId="170" fontId="3" fillId="0" borderId="0" xfId="0" applyNumberFormat="1" applyFont="1" applyFill="1"/>
    <xf numFmtId="170" fontId="3" fillId="0" borderId="1" xfId="0" applyNumberFormat="1" applyFont="1" applyFill="1" applyBorder="1"/>
    <xf numFmtId="43" fontId="0" fillId="0" borderId="0" xfId="0" applyNumberFormat="1" applyFill="1"/>
    <xf numFmtId="39" fontId="3" fillId="0" borderId="0" xfId="0" applyNumberFormat="1" applyFont="1" applyFill="1"/>
    <xf numFmtId="43" fontId="3" fillId="0" borderId="0" xfId="0" applyNumberFormat="1" applyFont="1" applyFill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GC4th%20Quarter%202020_LF%202.xl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I"/>
      <sheetName val="Schedule II"/>
      <sheetName val="Schedule IV"/>
      <sheetName val="Data"/>
    </sheetNames>
    <sheetDataSet>
      <sheetData sheetId="0" refreshError="1"/>
      <sheetData sheetId="1" refreshError="1"/>
      <sheetData sheetId="2">
        <row r="33">
          <cell r="C33">
            <v>0.27505620226171712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4:K48"/>
  <sheetViews>
    <sheetView topLeftCell="A31" workbookViewId="0">
      <selection activeCell="K35" sqref="K35"/>
    </sheetView>
  </sheetViews>
  <sheetFormatPr defaultColWidth="9.1796875" defaultRowHeight="15.5" x14ac:dyDescent="0.35"/>
  <cols>
    <col min="1" max="4" width="9.1796875" style="1"/>
    <col min="5" max="5" width="13.7265625" style="1" customWidth="1"/>
    <col min="6" max="6" width="22.26953125" style="1" bestFit="1" customWidth="1"/>
    <col min="7" max="7" width="11.453125" style="1" customWidth="1"/>
    <col min="8" max="8" width="4.26953125" style="1" customWidth="1"/>
    <col min="9" max="9" width="17.54296875" style="1" customWidth="1"/>
    <col min="10" max="10" width="12.453125" style="1" bestFit="1" customWidth="1"/>
    <col min="11" max="11" width="11.26953125" style="1" customWidth="1"/>
    <col min="12" max="16384" width="9.1796875" style="1"/>
  </cols>
  <sheetData>
    <row r="4" spans="1:11" x14ac:dyDescent="0.35">
      <c r="A4" s="173" t="s">
        <v>0</v>
      </c>
      <c r="B4" s="173"/>
      <c r="C4" s="173"/>
      <c r="D4" s="173"/>
      <c r="E4" s="173"/>
      <c r="F4" s="173"/>
      <c r="G4" s="173"/>
      <c r="H4" s="173"/>
      <c r="I4" s="173"/>
    </row>
    <row r="6" spans="1:11" x14ac:dyDescent="0.35">
      <c r="A6" s="174" t="s">
        <v>1</v>
      </c>
      <c r="B6" s="174"/>
      <c r="C6" s="174"/>
      <c r="D6" s="174"/>
      <c r="E6" s="174"/>
      <c r="F6" s="174"/>
      <c r="G6" s="174"/>
      <c r="H6" s="174"/>
      <c r="I6" s="174"/>
    </row>
    <row r="8" spans="1:11" x14ac:dyDescent="0.35">
      <c r="A8" s="2" t="s">
        <v>2</v>
      </c>
      <c r="G8" s="3" t="s">
        <v>3</v>
      </c>
      <c r="I8" s="3" t="s">
        <v>4</v>
      </c>
    </row>
    <row r="9" spans="1:11" x14ac:dyDescent="0.35">
      <c r="I9" s="152"/>
    </row>
    <row r="10" spans="1:11" x14ac:dyDescent="0.35">
      <c r="A10" s="1" t="s">
        <v>70</v>
      </c>
      <c r="G10" s="4" t="s">
        <v>5</v>
      </c>
      <c r="I10" s="5">
        <f>I24</f>
        <v>2.9788000000000001</v>
      </c>
      <c r="K10" s="5"/>
    </row>
    <row r="11" spans="1:11" x14ac:dyDescent="0.35">
      <c r="A11" s="1" t="s">
        <v>6</v>
      </c>
      <c r="G11" s="4" t="s">
        <v>5</v>
      </c>
      <c r="I11" s="5">
        <f>I32</f>
        <v>0</v>
      </c>
      <c r="K11" s="5"/>
    </row>
    <row r="12" spans="1:11" x14ac:dyDescent="0.35">
      <c r="A12" s="1" t="s">
        <v>7</v>
      </c>
      <c r="G12" s="4" t="s">
        <v>5</v>
      </c>
      <c r="I12" s="5">
        <f>I40</f>
        <v>0.154</v>
      </c>
    </row>
    <row r="13" spans="1:11" x14ac:dyDescent="0.35">
      <c r="A13" s="6" t="s">
        <v>8</v>
      </c>
      <c r="B13" s="6"/>
      <c r="C13" s="6"/>
      <c r="D13" s="6"/>
      <c r="E13" s="6"/>
      <c r="F13" s="6"/>
      <c r="G13" s="7" t="s">
        <v>5</v>
      </c>
      <c r="H13" s="6"/>
      <c r="I13" s="8">
        <f>I48</f>
        <v>0</v>
      </c>
      <c r="K13" s="5"/>
    </row>
    <row r="14" spans="1:11" x14ac:dyDescent="0.35">
      <c r="A14" s="1" t="s">
        <v>9</v>
      </c>
      <c r="G14" s="4" t="s">
        <v>5</v>
      </c>
      <c r="I14" s="5">
        <f>ROUND(SUM(I10:I13),4)</f>
        <v>3.1328</v>
      </c>
      <c r="K14" s="5"/>
    </row>
    <row r="16" spans="1:11" x14ac:dyDescent="0.35">
      <c r="A16" s="1" t="s">
        <v>71</v>
      </c>
      <c r="F16" s="54">
        <v>44197</v>
      </c>
      <c r="K16" s="79"/>
    </row>
    <row r="17" spans="1:9" x14ac:dyDescent="0.35">
      <c r="A17" s="1" t="s">
        <v>90</v>
      </c>
      <c r="F17" s="54">
        <v>44104</v>
      </c>
    </row>
    <row r="18" spans="1:9" ht="16" thickBot="1" x14ac:dyDescent="0.4">
      <c r="A18" s="9"/>
      <c r="B18" s="9"/>
      <c r="C18" s="9"/>
      <c r="D18" s="9"/>
      <c r="E18" s="9"/>
      <c r="F18" s="9"/>
      <c r="G18" s="9"/>
      <c r="H18" s="9"/>
      <c r="I18" s="9"/>
    </row>
    <row r="19" spans="1:9" ht="16" thickTop="1" x14ac:dyDescent="0.35"/>
    <row r="20" spans="1:9" x14ac:dyDescent="0.35">
      <c r="A20" s="1" t="s">
        <v>10</v>
      </c>
      <c r="G20" s="3" t="s">
        <v>3</v>
      </c>
      <c r="I20" s="3" t="s">
        <v>4</v>
      </c>
    </row>
    <row r="22" spans="1:9" x14ac:dyDescent="0.35">
      <c r="A22" s="1" t="s">
        <v>11</v>
      </c>
      <c r="G22" s="4" t="s">
        <v>5</v>
      </c>
      <c r="I22" s="11">
        <f>'Schedule II'!$F$35</f>
        <v>86705.573300970878</v>
      </c>
    </row>
    <row r="23" spans="1:9" x14ac:dyDescent="0.35">
      <c r="A23" s="12" t="s">
        <v>69</v>
      </c>
      <c r="B23" s="6"/>
      <c r="C23" s="6"/>
      <c r="D23" s="6"/>
      <c r="E23" s="6"/>
      <c r="F23" s="6"/>
      <c r="G23" s="7" t="s">
        <v>5</v>
      </c>
      <c r="H23" s="6"/>
      <c r="I23" s="153">
        <f>'Schedule II'!$B$28</f>
        <v>29108</v>
      </c>
    </row>
    <row r="24" spans="1:9" x14ac:dyDescent="0.35">
      <c r="A24" s="1" t="s">
        <v>12</v>
      </c>
      <c r="G24" s="4" t="s">
        <v>5</v>
      </c>
      <c r="I24" s="5">
        <f>ROUND(I22/I23,4)</f>
        <v>2.9788000000000001</v>
      </c>
    </row>
    <row r="25" spans="1:9" x14ac:dyDescent="0.35">
      <c r="G25" s="4"/>
    </row>
    <row r="26" spans="1:9" x14ac:dyDescent="0.35">
      <c r="A26" s="1" t="s">
        <v>13</v>
      </c>
      <c r="G26" s="3" t="s">
        <v>3</v>
      </c>
      <c r="I26" s="3" t="s">
        <v>4</v>
      </c>
    </row>
    <row r="28" spans="1:9" x14ac:dyDescent="0.35">
      <c r="A28" s="1" t="s">
        <v>14</v>
      </c>
      <c r="G28" s="4" t="s">
        <v>5</v>
      </c>
      <c r="I28" s="148">
        <v>0</v>
      </c>
    </row>
    <row r="29" spans="1:9" x14ac:dyDescent="0.35">
      <c r="A29" s="13" t="s">
        <v>15</v>
      </c>
      <c r="G29" s="4" t="s">
        <v>5</v>
      </c>
      <c r="I29" s="149">
        <v>0</v>
      </c>
    </row>
    <row r="30" spans="1:9" x14ac:dyDescent="0.35">
      <c r="A30" s="13" t="s">
        <v>16</v>
      </c>
      <c r="G30" s="4" t="s">
        <v>5</v>
      </c>
      <c r="I30" s="149">
        <v>0</v>
      </c>
    </row>
    <row r="31" spans="1:9" x14ac:dyDescent="0.35">
      <c r="A31" s="12" t="s">
        <v>17</v>
      </c>
      <c r="B31" s="6"/>
      <c r="C31" s="6"/>
      <c r="D31" s="6"/>
      <c r="E31" s="6"/>
      <c r="F31" s="6"/>
      <c r="G31" s="7" t="s">
        <v>5</v>
      </c>
      <c r="H31" s="6"/>
      <c r="I31" s="150">
        <v>0</v>
      </c>
    </row>
    <row r="32" spans="1:9" x14ac:dyDescent="0.35">
      <c r="A32" s="13" t="s">
        <v>18</v>
      </c>
      <c r="G32" s="4" t="s">
        <v>19</v>
      </c>
      <c r="I32" s="148">
        <f>ROUND(SUM(I28:I31),4)</f>
        <v>0</v>
      </c>
    </row>
    <row r="33" spans="1:9" x14ac:dyDescent="0.35">
      <c r="I33" s="148"/>
    </row>
    <row r="34" spans="1:9" x14ac:dyDescent="0.35">
      <c r="A34" s="1" t="s">
        <v>20</v>
      </c>
      <c r="G34" s="3" t="s">
        <v>3</v>
      </c>
      <c r="I34" s="151" t="s">
        <v>4</v>
      </c>
    </row>
    <row r="35" spans="1:9" x14ac:dyDescent="0.35">
      <c r="I35" s="148"/>
    </row>
    <row r="36" spans="1:9" x14ac:dyDescent="0.35">
      <c r="A36" s="1" t="s">
        <v>21</v>
      </c>
      <c r="G36" s="4" t="s">
        <v>5</v>
      </c>
      <c r="I36" s="148">
        <f>'Schedule IV'!$C$33</f>
        <v>0.81952169850212997</v>
      </c>
    </row>
    <row r="37" spans="1:9" x14ac:dyDescent="0.35">
      <c r="A37" s="13" t="s">
        <v>22</v>
      </c>
      <c r="G37" s="4" t="s">
        <v>5</v>
      </c>
      <c r="I37" s="148">
        <f>'[1]Schedule IV'!$C$33</f>
        <v>0.27505620226171712</v>
      </c>
    </row>
    <row r="38" spans="1:9" x14ac:dyDescent="0.35">
      <c r="A38" s="13" t="s">
        <v>23</v>
      </c>
      <c r="G38" s="4" t="s">
        <v>5</v>
      </c>
      <c r="I38" s="149">
        <v>-0.85270000000000001</v>
      </c>
    </row>
    <row r="39" spans="1:9" x14ac:dyDescent="0.35">
      <c r="A39" s="12" t="s">
        <v>24</v>
      </c>
      <c r="B39" s="6"/>
      <c r="C39" s="6"/>
      <c r="D39" s="6"/>
      <c r="E39" s="6"/>
      <c r="F39" s="6"/>
      <c r="G39" s="7" t="s">
        <v>5</v>
      </c>
      <c r="H39" s="6"/>
      <c r="I39" s="150">
        <v>-8.7900000000000006E-2</v>
      </c>
    </row>
    <row r="40" spans="1:9" x14ac:dyDescent="0.35">
      <c r="A40" s="13" t="s">
        <v>25</v>
      </c>
      <c r="G40" s="4" t="s">
        <v>19</v>
      </c>
      <c r="I40" s="148">
        <f>ROUND(SUM(I36:I39),4)</f>
        <v>0.154</v>
      </c>
    </row>
    <row r="41" spans="1:9" x14ac:dyDescent="0.35">
      <c r="I41" s="148"/>
    </row>
    <row r="42" spans="1:9" x14ac:dyDescent="0.35">
      <c r="A42" s="1" t="s">
        <v>26</v>
      </c>
      <c r="G42" s="3" t="s">
        <v>3</v>
      </c>
      <c r="I42" s="151" t="s">
        <v>4</v>
      </c>
    </row>
    <row r="43" spans="1:9" x14ac:dyDescent="0.35">
      <c r="I43" s="148"/>
    </row>
    <row r="44" spans="1:9" x14ac:dyDescent="0.35">
      <c r="A44" s="1" t="s">
        <v>27</v>
      </c>
      <c r="G44" s="4" t="s">
        <v>5</v>
      </c>
      <c r="I44" s="148">
        <v>0</v>
      </c>
    </row>
    <row r="45" spans="1:9" x14ac:dyDescent="0.35">
      <c r="A45" s="13" t="s">
        <v>28</v>
      </c>
      <c r="G45" s="4" t="s">
        <v>5</v>
      </c>
      <c r="I45" s="149">
        <v>0</v>
      </c>
    </row>
    <row r="46" spans="1:9" x14ac:dyDescent="0.35">
      <c r="A46" s="13" t="s">
        <v>29</v>
      </c>
      <c r="G46" s="4" t="s">
        <v>5</v>
      </c>
      <c r="I46" s="149">
        <v>0</v>
      </c>
    </row>
    <row r="47" spans="1:9" x14ac:dyDescent="0.35">
      <c r="A47" s="12" t="s">
        <v>30</v>
      </c>
      <c r="B47" s="6"/>
      <c r="C47" s="6"/>
      <c r="D47" s="6"/>
      <c r="E47" s="6"/>
      <c r="F47" s="6"/>
      <c r="G47" s="7" t="s">
        <v>5</v>
      </c>
      <c r="H47" s="6"/>
      <c r="I47" s="150">
        <v>0</v>
      </c>
    </row>
    <row r="48" spans="1:9" x14ac:dyDescent="0.35">
      <c r="A48" s="13" t="s">
        <v>31</v>
      </c>
      <c r="G48" s="4" t="s">
        <v>19</v>
      </c>
      <c r="I48" s="148">
        <f>ROUND(SUM(I44:I47),4)</f>
        <v>0</v>
      </c>
    </row>
  </sheetData>
  <mergeCells count="2">
    <mergeCell ref="A4:I4"/>
    <mergeCell ref="A6:I6"/>
  </mergeCells>
  <phoneticPr fontId="2" type="noConversion"/>
  <pageMargins left="0.75" right="0.75" top="1" bottom="1" header="0.5" footer="0.5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4:S59"/>
  <sheetViews>
    <sheetView topLeftCell="C1" workbookViewId="0">
      <selection activeCell="A35" sqref="A1:I35"/>
    </sheetView>
  </sheetViews>
  <sheetFormatPr defaultColWidth="9.1796875" defaultRowHeight="15.5" x14ac:dyDescent="0.35"/>
  <cols>
    <col min="1" max="1" width="30.81640625" style="1" customWidth="1"/>
    <col min="2" max="2" width="13.54296875" style="1" customWidth="1"/>
    <col min="3" max="3" width="22.7265625" style="1" customWidth="1"/>
    <col min="4" max="4" width="12.81640625" style="1" bestFit="1" customWidth="1"/>
    <col min="5" max="5" width="17.54296875" style="1" bestFit="1" customWidth="1"/>
    <col min="6" max="6" width="15.54296875" style="1" customWidth="1"/>
    <col min="7" max="7" width="9.1796875" style="1"/>
    <col min="8" max="8" width="12.81640625" style="1" bestFit="1" customWidth="1"/>
    <col min="9" max="9" width="12.453125" style="1" customWidth="1"/>
    <col min="10" max="11" width="9.1796875" style="1"/>
    <col min="12" max="12" width="14.26953125" style="1" customWidth="1"/>
    <col min="13" max="13" width="9.1796875" style="1"/>
    <col min="14" max="14" width="13" style="1" customWidth="1"/>
    <col min="15" max="15" width="14.7265625" style="1" customWidth="1"/>
    <col min="16" max="16" width="11.453125" style="1" customWidth="1"/>
    <col min="17" max="16384" width="9.1796875" style="1"/>
  </cols>
  <sheetData>
    <row r="4" spans="1:19" x14ac:dyDescent="0.35">
      <c r="A4" s="173" t="s">
        <v>32</v>
      </c>
      <c r="B4" s="173"/>
      <c r="C4" s="173"/>
      <c r="D4" s="173"/>
      <c r="E4" s="173"/>
      <c r="F4" s="173"/>
    </row>
    <row r="6" spans="1:19" x14ac:dyDescent="0.35">
      <c r="A6" s="173" t="s">
        <v>33</v>
      </c>
      <c r="B6" s="173"/>
      <c r="C6" s="173"/>
      <c r="D6" s="173"/>
      <c r="E6" s="173"/>
      <c r="F6" s="173"/>
    </row>
    <row r="8" spans="1:19" x14ac:dyDescent="0.35">
      <c r="H8" s="175" t="s">
        <v>114</v>
      </c>
      <c r="I8" s="175"/>
    </row>
    <row r="9" spans="1:19" x14ac:dyDescent="0.35">
      <c r="A9" s="1" t="s">
        <v>34</v>
      </c>
      <c r="C9" s="55">
        <v>44104</v>
      </c>
      <c r="H9" s="1" t="s">
        <v>113</v>
      </c>
      <c r="K9" s="26"/>
      <c r="L9" s="26"/>
      <c r="M9" s="55"/>
      <c r="N9" s="26"/>
      <c r="O9" s="26"/>
      <c r="P9" s="26"/>
      <c r="Q9" s="26"/>
      <c r="R9" s="26"/>
    </row>
    <row r="10" spans="1:19" x14ac:dyDescent="0.35">
      <c r="H10" s="118">
        <v>3.8557000000000001</v>
      </c>
      <c r="I10" s="154">
        <f>'Schedule I'!F16</f>
        <v>44197</v>
      </c>
      <c r="K10" s="26"/>
      <c r="L10" s="26"/>
      <c r="M10" s="26"/>
      <c r="N10" s="26"/>
      <c r="O10" s="26"/>
      <c r="P10" s="26"/>
      <c r="Q10" s="26"/>
      <c r="R10" s="26"/>
      <c r="S10" s="154"/>
    </row>
    <row r="11" spans="1:19" x14ac:dyDescent="0.35">
      <c r="A11" s="4" t="s">
        <v>35</v>
      </c>
      <c r="B11" s="4" t="s">
        <v>36</v>
      </c>
      <c r="C11" s="4" t="s">
        <v>37</v>
      </c>
      <c r="D11" s="4" t="s">
        <v>38</v>
      </c>
      <c r="E11" s="4" t="s">
        <v>39</v>
      </c>
      <c r="F11" s="4" t="s">
        <v>40</v>
      </c>
      <c r="H11" s="138">
        <v>3.7088999999999999</v>
      </c>
      <c r="I11" s="154">
        <f>EDATE(I10,1)</f>
        <v>44228</v>
      </c>
      <c r="K11" s="36"/>
      <c r="L11" s="36"/>
      <c r="M11" s="36"/>
      <c r="N11" s="36"/>
      <c r="O11" s="36"/>
      <c r="P11" s="36"/>
      <c r="Q11" s="26"/>
      <c r="R11" s="168"/>
      <c r="S11" s="154"/>
    </row>
    <row r="12" spans="1:19" x14ac:dyDescent="0.35">
      <c r="A12" s="42"/>
      <c r="B12" s="42"/>
      <c r="C12" s="42" t="s">
        <v>41</v>
      </c>
      <c r="D12" s="42"/>
      <c r="E12" s="42"/>
      <c r="F12" s="4" t="s">
        <v>42</v>
      </c>
      <c r="H12" s="123">
        <v>3.5363000000000002</v>
      </c>
      <c r="I12" s="154">
        <f>EDATE(I11,1)</f>
        <v>44256</v>
      </c>
      <c r="K12" s="33"/>
      <c r="L12" s="33"/>
      <c r="M12" s="33"/>
      <c r="N12" s="33"/>
      <c r="O12" s="33"/>
      <c r="P12" s="36"/>
      <c r="Q12" s="26"/>
      <c r="R12" s="169"/>
      <c r="S12" s="154"/>
    </row>
    <row r="13" spans="1:19" x14ac:dyDescent="0.35">
      <c r="A13" s="3" t="s">
        <v>43</v>
      </c>
      <c r="B13" s="3" t="s">
        <v>75</v>
      </c>
      <c r="C13" s="3" t="s">
        <v>44</v>
      </c>
      <c r="D13" s="3" t="s">
        <v>45</v>
      </c>
      <c r="E13" s="3" t="s">
        <v>74</v>
      </c>
      <c r="F13" s="3" t="s">
        <v>46</v>
      </c>
      <c r="H13" s="1">
        <f>ROUND(AVERAGE(H10:H12),4)</f>
        <v>3.7002999999999999</v>
      </c>
      <c r="K13" s="39"/>
      <c r="L13" s="39"/>
      <c r="M13" s="39"/>
      <c r="N13" s="39"/>
      <c r="O13" s="39"/>
      <c r="P13" s="39"/>
      <c r="Q13" s="26"/>
      <c r="R13" s="26"/>
    </row>
    <row r="14" spans="1:19" x14ac:dyDescent="0.35">
      <c r="A14" s="118" t="s">
        <v>73</v>
      </c>
      <c r="B14" s="145">
        <f>Data!$L$25</f>
        <v>41203</v>
      </c>
      <c r="C14" s="26">
        <v>1.03</v>
      </c>
      <c r="D14" s="31">
        <f>SUM(B14/C14)</f>
        <v>40002.912621359224</v>
      </c>
      <c r="E14" s="37">
        <f>H13</f>
        <v>3.7002999999999999</v>
      </c>
      <c r="F14" s="146">
        <f>SUM(D14*E14)</f>
        <v>148022.77757281554</v>
      </c>
      <c r="K14" s="26"/>
      <c r="L14" s="145"/>
      <c r="M14" s="26"/>
      <c r="N14" s="170"/>
      <c r="O14" s="37"/>
      <c r="P14" s="171"/>
      <c r="Q14" s="26"/>
      <c r="R14" s="26"/>
    </row>
    <row r="15" spans="1:19" x14ac:dyDescent="0.35">
      <c r="A15" s="118" t="s">
        <v>76</v>
      </c>
      <c r="B15" s="145">
        <f>(Data!H24)*-1</f>
        <v>-3956</v>
      </c>
      <c r="C15" s="26">
        <v>1.03</v>
      </c>
      <c r="D15" s="31">
        <f>SUM(B15/C15)</f>
        <v>-3840.7766990291261</v>
      </c>
      <c r="E15" s="37">
        <f>E14</f>
        <v>3.7002999999999999</v>
      </c>
      <c r="F15" s="146">
        <f t="shared" ref="F15:F20" si="0">E15*D15</f>
        <v>-14212.026019417475</v>
      </c>
      <c r="K15" s="26"/>
      <c r="L15" s="145"/>
      <c r="M15" s="26"/>
      <c r="N15" s="170"/>
      <c r="O15" s="37"/>
      <c r="P15" s="171"/>
      <c r="Q15" s="26"/>
      <c r="R15" s="26"/>
    </row>
    <row r="16" spans="1:19" x14ac:dyDescent="0.35">
      <c r="A16" s="118" t="s">
        <v>77</v>
      </c>
      <c r="B16" s="119">
        <f>Data!$P$25</f>
        <v>-13112</v>
      </c>
      <c r="C16" s="26">
        <v>1.03</v>
      </c>
      <c r="D16" s="31">
        <f>SUM(B16/C16)</f>
        <v>-12730.097087378641</v>
      </c>
      <c r="E16" s="37">
        <f>E15</f>
        <v>3.7002999999999999</v>
      </c>
      <c r="F16" s="146">
        <f t="shared" si="0"/>
        <v>-47105.178252427184</v>
      </c>
      <c r="K16" s="26"/>
      <c r="L16" s="145"/>
      <c r="M16" s="26"/>
      <c r="N16" s="170"/>
      <c r="O16" s="37"/>
      <c r="P16" s="171"/>
      <c r="Q16" s="26"/>
      <c r="R16" s="26"/>
    </row>
    <row r="17" spans="1:18" x14ac:dyDescent="0.35">
      <c r="A17" s="118"/>
      <c r="B17" s="118"/>
      <c r="C17" s="118"/>
      <c r="D17" s="119"/>
      <c r="E17" s="120"/>
      <c r="F17" s="146">
        <f t="shared" si="0"/>
        <v>0</v>
      </c>
      <c r="K17" s="26"/>
      <c r="L17" s="26"/>
      <c r="M17" s="26"/>
      <c r="N17" s="145"/>
      <c r="O17" s="35"/>
      <c r="P17" s="171"/>
      <c r="Q17" s="26"/>
      <c r="R17" s="26"/>
    </row>
    <row r="18" spans="1:18" x14ac:dyDescent="0.35">
      <c r="A18" s="118"/>
      <c r="B18" s="118"/>
      <c r="C18" s="118"/>
      <c r="D18" s="119"/>
      <c r="E18" s="120"/>
      <c r="F18" s="146">
        <f t="shared" si="0"/>
        <v>0</v>
      </c>
      <c r="H18" s="53"/>
      <c r="K18" s="26"/>
      <c r="L18" s="26"/>
      <c r="M18" s="26"/>
      <c r="N18" s="145"/>
      <c r="O18" s="35"/>
      <c r="P18" s="171"/>
      <c r="Q18" s="26"/>
      <c r="R18" s="172"/>
    </row>
    <row r="19" spans="1:18" x14ac:dyDescent="0.35">
      <c r="A19" s="118"/>
      <c r="B19" s="118"/>
      <c r="C19" s="118"/>
      <c r="D19" s="119"/>
      <c r="E19" s="120"/>
      <c r="F19" s="146">
        <f t="shared" si="0"/>
        <v>0</v>
      </c>
      <c r="K19" s="26"/>
      <c r="L19" s="26"/>
      <c r="M19" s="26"/>
      <c r="N19" s="145"/>
      <c r="O19" s="35"/>
      <c r="P19" s="171"/>
      <c r="Q19" s="26"/>
      <c r="R19" s="26"/>
    </row>
    <row r="20" spans="1:18" x14ac:dyDescent="0.35">
      <c r="A20" s="118"/>
      <c r="B20" s="118"/>
      <c r="C20" s="118"/>
      <c r="D20" s="119"/>
      <c r="E20" s="120"/>
      <c r="F20" s="146">
        <f t="shared" si="0"/>
        <v>0</v>
      </c>
      <c r="K20" s="26"/>
      <c r="L20" s="26"/>
      <c r="M20" s="26"/>
      <c r="N20" s="145"/>
      <c r="O20" s="35"/>
      <c r="P20" s="171"/>
      <c r="Q20" s="26"/>
      <c r="R20" s="26"/>
    </row>
    <row r="21" spans="1:18" x14ac:dyDescent="0.35">
      <c r="D21" s="14"/>
      <c r="F21" s="146"/>
      <c r="H21" s="53"/>
    </row>
    <row r="22" spans="1:18" x14ac:dyDescent="0.35">
      <c r="D22" s="14"/>
      <c r="F22" s="146"/>
      <c r="H22" s="53"/>
    </row>
    <row r="23" spans="1:18" x14ac:dyDescent="0.35">
      <c r="D23" s="14"/>
      <c r="F23" s="146"/>
      <c r="H23" s="53"/>
    </row>
    <row r="24" spans="1:18" x14ac:dyDescent="0.35">
      <c r="A24" s="6"/>
      <c r="B24" s="6"/>
      <c r="C24" s="6"/>
      <c r="D24" s="15"/>
      <c r="E24" s="6"/>
      <c r="F24" s="147"/>
    </row>
    <row r="25" spans="1:18" x14ac:dyDescent="0.35">
      <c r="A25" s="1" t="s">
        <v>47</v>
      </c>
      <c r="D25" s="51">
        <f>SUM(D14:D24)</f>
        <v>23432.038834951454</v>
      </c>
      <c r="F25" s="11">
        <f>SUM(F14:F24)</f>
        <v>86705.573300970878</v>
      </c>
    </row>
    <row r="27" spans="1:18" x14ac:dyDescent="0.35">
      <c r="A27" s="1" t="s">
        <v>48</v>
      </c>
      <c r="B27" s="52">
        <f>C9</f>
        <v>44104</v>
      </c>
      <c r="C27" s="1" t="s">
        <v>49</v>
      </c>
      <c r="E27" s="40">
        <f>D25</f>
        <v>23432.038834951454</v>
      </c>
    </row>
    <row r="28" spans="1:18" x14ac:dyDescent="0.35">
      <c r="A28" s="1" t="s">
        <v>50</v>
      </c>
      <c r="B28" s="124">
        <f>Data!F24</f>
        <v>29108</v>
      </c>
      <c r="C28" s="1" t="s">
        <v>45</v>
      </c>
      <c r="D28" s="16"/>
    </row>
    <row r="29" spans="1:18" x14ac:dyDescent="0.35">
      <c r="A29" s="44"/>
      <c r="B29" s="114"/>
      <c r="D29" s="16">
        <f>(E27-B28)/E27</f>
        <v>-0.24223078516677035</v>
      </c>
      <c r="E29" s="112"/>
    </row>
    <row r="30" spans="1:18" x14ac:dyDescent="0.35">
      <c r="C30" s="53"/>
      <c r="E30" s="43" t="s">
        <v>3</v>
      </c>
      <c r="F30" s="43" t="s">
        <v>4</v>
      </c>
    </row>
    <row r="31" spans="1:18" x14ac:dyDescent="0.35">
      <c r="A31" s="1" t="s">
        <v>51</v>
      </c>
      <c r="F31" s="17">
        <f>F25</f>
        <v>86705.573300970878</v>
      </c>
    </row>
    <row r="32" spans="1:18" x14ac:dyDescent="0.35">
      <c r="A32" s="12" t="s">
        <v>52</v>
      </c>
      <c r="B32" s="6"/>
      <c r="C32" s="6"/>
      <c r="D32" s="6"/>
      <c r="E32" s="6"/>
      <c r="F32" s="41">
        <f>E27</f>
        <v>23432.038834951454</v>
      </c>
    </row>
    <row r="33" spans="1:8" x14ac:dyDescent="0.35">
      <c r="A33" s="13" t="s">
        <v>53</v>
      </c>
      <c r="F33" s="5">
        <f>F31/F32</f>
        <v>3.7003000000000004</v>
      </c>
    </row>
    <row r="34" spans="1:8" x14ac:dyDescent="0.35">
      <c r="A34" s="12" t="s">
        <v>89</v>
      </c>
      <c r="B34" s="6"/>
      <c r="C34" s="6"/>
      <c r="D34" s="6"/>
      <c r="E34" s="6"/>
      <c r="F34" s="45">
        <f>IF(((E27-B28)/E27)&gt;5%,($B$28/0.95),E27)</f>
        <v>23432.038834951454</v>
      </c>
      <c r="H34" s="53"/>
    </row>
    <row r="35" spans="1:8" x14ac:dyDescent="0.35">
      <c r="A35" s="13" t="s">
        <v>54</v>
      </c>
      <c r="F35" s="57">
        <f>F33*F34</f>
        <v>86705.573300970878</v>
      </c>
    </row>
    <row r="51" spans="1:1" x14ac:dyDescent="0.35">
      <c r="A51" s="1" t="s">
        <v>72</v>
      </c>
    </row>
    <row r="52" spans="1:1" x14ac:dyDescent="0.35">
      <c r="A52" s="1" t="s">
        <v>72</v>
      </c>
    </row>
    <row r="53" spans="1:1" x14ac:dyDescent="0.35">
      <c r="A53" s="1" t="s">
        <v>72</v>
      </c>
    </row>
    <row r="54" spans="1:1" x14ac:dyDescent="0.35">
      <c r="A54" s="1" t="s">
        <v>72</v>
      </c>
    </row>
    <row r="55" spans="1:1" x14ac:dyDescent="0.35">
      <c r="A55" s="1" t="s">
        <v>72</v>
      </c>
    </row>
    <row r="56" spans="1:1" x14ac:dyDescent="0.35">
      <c r="A56" s="1" t="s">
        <v>72</v>
      </c>
    </row>
    <row r="57" spans="1:1" x14ac:dyDescent="0.35">
      <c r="A57" s="1" t="s">
        <v>72</v>
      </c>
    </row>
    <row r="58" spans="1:1" x14ac:dyDescent="0.35">
      <c r="A58" s="1" t="s">
        <v>72</v>
      </c>
    </row>
    <row r="59" spans="1:1" x14ac:dyDescent="0.35">
      <c r="A59" s="1" t="s">
        <v>72</v>
      </c>
    </row>
  </sheetData>
  <mergeCells count="3">
    <mergeCell ref="A4:F4"/>
    <mergeCell ref="A6:F6"/>
    <mergeCell ref="H8:I8"/>
  </mergeCells>
  <phoneticPr fontId="2" type="noConversion"/>
  <pageMargins left="0.75" right="0.75" top="0.5" bottom="1" header="0.5" footer="0.5"/>
  <pageSetup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2:AX37"/>
  <sheetViews>
    <sheetView tabSelected="1" topLeftCell="C1" workbookViewId="0">
      <selection activeCell="J5" sqref="J5"/>
    </sheetView>
  </sheetViews>
  <sheetFormatPr defaultColWidth="9.1796875" defaultRowHeight="15.5" x14ac:dyDescent="0.35"/>
  <cols>
    <col min="1" max="1" width="57.7265625" style="1" bestFit="1" customWidth="1"/>
    <col min="2" max="2" width="22.26953125" style="1" bestFit="1" customWidth="1"/>
    <col min="3" max="3" width="22.26953125" style="1" customWidth="1"/>
    <col min="4" max="4" width="19.453125" style="1" customWidth="1"/>
    <col min="5" max="5" width="18.1796875" style="1" customWidth="1"/>
    <col min="6" max="6" width="22.26953125" style="67" customWidth="1"/>
    <col min="7" max="7" width="22.26953125" style="58" customWidth="1"/>
    <col min="8" max="8" width="19.1796875" style="1" customWidth="1"/>
    <col min="9" max="9" width="14.81640625" style="1" bestFit="1" customWidth="1"/>
    <col min="10" max="10" width="15.81640625" style="1" customWidth="1"/>
    <col min="11" max="11" width="15.54296875" style="1" bestFit="1" customWidth="1"/>
    <col min="12" max="12" width="15.1796875" style="1" bestFit="1" customWidth="1"/>
    <col min="13" max="13" width="13.54296875" style="1" bestFit="1" customWidth="1"/>
    <col min="14" max="14" width="14.54296875" style="1" customWidth="1"/>
    <col min="15" max="15" width="14.81640625" style="1" bestFit="1" customWidth="1"/>
    <col min="16" max="17" width="13.54296875" style="1" bestFit="1" customWidth="1"/>
    <col min="18" max="20" width="13.453125" style="1" customWidth="1"/>
    <col min="21" max="21" width="14.7265625" style="1" bestFit="1" customWidth="1"/>
    <col min="22" max="22" width="13.453125" style="1" bestFit="1" customWidth="1"/>
    <col min="23" max="23" width="15" style="1" customWidth="1"/>
    <col min="24" max="24" width="14.7265625" style="1" bestFit="1" customWidth="1"/>
    <col min="25" max="25" width="11.54296875" style="1" customWidth="1"/>
    <col min="26" max="26" width="12.26953125" style="1" customWidth="1"/>
    <col min="27" max="28" width="11.1796875" style="1" customWidth="1"/>
    <col min="29" max="30" width="11.26953125" style="1" customWidth="1"/>
    <col min="31" max="31" width="11" style="1" customWidth="1"/>
    <col min="32" max="32" width="10.54296875" style="1" customWidth="1"/>
    <col min="33" max="33" width="11" style="1" customWidth="1"/>
    <col min="34" max="34" width="10.81640625" style="1" customWidth="1"/>
    <col min="35" max="35" width="11.26953125" style="1" customWidth="1"/>
    <col min="36" max="36" width="11.54296875" style="1" customWidth="1"/>
    <col min="37" max="37" width="10" style="1" customWidth="1"/>
    <col min="38" max="38" width="10.453125" style="1" customWidth="1"/>
    <col min="39" max="39" width="11" style="1" customWidth="1"/>
    <col min="40" max="40" width="10" style="1" customWidth="1"/>
    <col min="41" max="41" width="10.81640625" style="1" customWidth="1"/>
    <col min="42" max="42" width="10.1796875" style="1" customWidth="1"/>
    <col min="43" max="43" width="10.54296875" style="1" customWidth="1"/>
    <col min="44" max="44" width="10.26953125" style="1" customWidth="1"/>
    <col min="45" max="45" width="10.7265625" style="1" customWidth="1"/>
    <col min="46" max="46" width="10.453125" style="1" customWidth="1"/>
    <col min="47" max="47" width="10.26953125" style="1" customWidth="1"/>
    <col min="48" max="48" width="10.26953125" style="1" bestFit="1" customWidth="1"/>
    <col min="49" max="50" width="11.54296875" style="1" bestFit="1" customWidth="1"/>
    <col min="51" max="16384" width="9.1796875" style="1"/>
  </cols>
  <sheetData>
    <row r="2" spans="1:50" x14ac:dyDescent="0.35">
      <c r="C2" s="1" t="s">
        <v>88</v>
      </c>
    </row>
    <row r="3" spans="1:50" x14ac:dyDescent="0.35">
      <c r="B3" s="27" t="s">
        <v>55</v>
      </c>
    </row>
    <row r="4" spans="1:50" x14ac:dyDescent="0.35">
      <c r="A4" s="76" t="s">
        <v>72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/>
      <c r="M4"/>
      <c r="N4"/>
      <c r="O4"/>
      <c r="P4"/>
      <c r="Q4"/>
      <c r="R4"/>
      <c r="S4"/>
      <c r="T4"/>
      <c r="U4"/>
      <c r="V4"/>
      <c r="W4"/>
    </row>
    <row r="5" spans="1:50" x14ac:dyDescent="0.35">
      <c r="B5" s="27" t="s">
        <v>56</v>
      </c>
    </row>
    <row r="6" spans="1:50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/>
      <c r="M6"/>
      <c r="N6"/>
      <c r="O6"/>
      <c r="P6"/>
      <c r="Q6"/>
      <c r="R6"/>
      <c r="S6"/>
      <c r="T6"/>
      <c r="U6"/>
      <c r="V6"/>
      <c r="W6"/>
    </row>
    <row r="7" spans="1:50" x14ac:dyDescent="0.35">
      <c r="E7" s="50"/>
      <c r="H7" s="28"/>
      <c r="I7" s="28"/>
      <c r="J7" s="28"/>
      <c r="K7" s="28"/>
      <c r="L7" s="28"/>
    </row>
    <row r="8" spans="1:50" x14ac:dyDescent="0.35">
      <c r="H8" s="28"/>
      <c r="I8" s="28"/>
      <c r="J8" s="28"/>
      <c r="K8" s="28"/>
      <c r="L8" s="28"/>
    </row>
    <row r="9" spans="1:50" x14ac:dyDescent="0.35">
      <c r="A9" s="1" t="s">
        <v>67</v>
      </c>
      <c r="B9" s="25">
        <v>44104</v>
      </c>
      <c r="C9" s="25"/>
      <c r="D9" s="25"/>
      <c r="E9" s="25"/>
      <c r="F9" s="68"/>
      <c r="G9" s="59"/>
      <c r="H9" s="47"/>
      <c r="I9" s="28"/>
      <c r="J9" s="28"/>
      <c r="K9" s="28"/>
      <c r="L9" s="28"/>
    </row>
    <row r="10" spans="1:50" x14ac:dyDescent="0.35">
      <c r="F10" s="69"/>
      <c r="G10" s="60"/>
      <c r="H10" s="28"/>
      <c r="I10" s="28"/>
      <c r="J10" s="28"/>
      <c r="K10" s="28"/>
      <c r="L10" s="28"/>
    </row>
    <row r="11" spans="1:50" x14ac:dyDescent="0.35">
      <c r="F11" s="69"/>
      <c r="G11" s="60"/>
      <c r="H11" s="28"/>
      <c r="I11" s="48"/>
      <c r="J11" s="48"/>
      <c r="K11" s="48"/>
      <c r="L11" s="28"/>
    </row>
    <row r="12" spans="1:50" x14ac:dyDescent="0.35">
      <c r="A12" s="2" t="s">
        <v>57</v>
      </c>
      <c r="B12" s="3" t="s">
        <v>3</v>
      </c>
      <c r="C12" s="24">
        <v>44032</v>
      </c>
      <c r="D12" s="24">
        <v>44063</v>
      </c>
      <c r="E12" s="24">
        <v>44094</v>
      </c>
      <c r="F12" s="70"/>
      <c r="G12" s="61"/>
      <c r="H12" s="24">
        <v>43922</v>
      </c>
      <c r="I12" s="24">
        <v>43952</v>
      </c>
      <c r="J12" s="24">
        <v>43983</v>
      </c>
      <c r="K12" s="2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</row>
    <row r="13" spans="1:50" x14ac:dyDescent="0.35">
      <c r="A13" s="1" t="s">
        <v>58</v>
      </c>
      <c r="B13" s="33" t="s">
        <v>78</v>
      </c>
      <c r="C13" s="121">
        <v>2825</v>
      </c>
      <c r="D13" s="121">
        <v>4097</v>
      </c>
      <c r="E13" s="121">
        <v>2600</v>
      </c>
      <c r="F13" s="71" t="s">
        <v>91</v>
      </c>
      <c r="G13" s="62"/>
      <c r="H13" s="121">
        <v>2700</v>
      </c>
      <c r="I13" s="121">
        <v>2800</v>
      </c>
      <c r="J13" s="121">
        <v>3740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x14ac:dyDescent="0.35">
      <c r="A14" s="13" t="s">
        <v>79</v>
      </c>
      <c r="B14" s="33" t="s">
        <v>82</v>
      </c>
      <c r="C14" s="121">
        <v>0</v>
      </c>
      <c r="D14" s="121">
        <v>0</v>
      </c>
      <c r="E14" s="121">
        <v>0</v>
      </c>
      <c r="F14" s="72" t="s">
        <v>92</v>
      </c>
      <c r="G14" s="63"/>
      <c r="H14" s="121">
        <v>0</v>
      </c>
      <c r="I14" s="121">
        <v>879</v>
      </c>
      <c r="J14" s="121">
        <v>2114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x14ac:dyDescent="0.35">
      <c r="A15" s="13" t="s">
        <v>86</v>
      </c>
      <c r="B15" s="33" t="s">
        <v>78</v>
      </c>
      <c r="C15" s="34">
        <v>2825</v>
      </c>
      <c r="D15" s="34">
        <v>4097</v>
      </c>
      <c r="E15" s="34">
        <v>2600</v>
      </c>
      <c r="F15" s="115" t="s">
        <v>116</v>
      </c>
      <c r="G15" s="62"/>
      <c r="H15" s="34">
        <v>2700</v>
      </c>
      <c r="I15" s="34">
        <v>1895</v>
      </c>
      <c r="J15" s="34">
        <v>1563</v>
      </c>
      <c r="K15" s="4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x14ac:dyDescent="0.35">
      <c r="A16" s="1" t="s">
        <v>80</v>
      </c>
      <c r="B16" s="33" t="s">
        <v>59</v>
      </c>
      <c r="C16" s="120">
        <v>8676.75</v>
      </c>
      <c r="D16" s="120">
        <v>12207.31</v>
      </c>
      <c r="E16" s="120">
        <v>8753.64</v>
      </c>
      <c r="F16" s="73" t="s">
        <v>93</v>
      </c>
      <c r="G16" s="64"/>
      <c r="H16" s="120">
        <v>9158.52</v>
      </c>
      <c r="I16" s="120">
        <v>9199.56</v>
      </c>
      <c r="J16" s="120">
        <v>11839.85</v>
      </c>
      <c r="K16" s="21"/>
      <c r="L16" s="21"/>
      <c r="M16" s="20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</row>
    <row r="17" spans="1:50" x14ac:dyDescent="0.35">
      <c r="A17" s="1" t="s">
        <v>81</v>
      </c>
      <c r="B17" s="33" t="s">
        <v>59</v>
      </c>
      <c r="C17" s="35">
        <f>C16-((C16/C13)*(C13-C15))</f>
        <v>8676.75</v>
      </c>
      <c r="D17" s="35">
        <f>D16-((D16/D13)*(D13-D15))</f>
        <v>12207.31</v>
      </c>
      <c r="E17" s="35">
        <f>E16-((E16/E13)*(E13-E15))</f>
        <v>8753.64</v>
      </c>
      <c r="F17" s="115" t="s">
        <v>116</v>
      </c>
      <c r="G17" s="64"/>
      <c r="H17" s="35">
        <f>H16-((H16/H13)*(H13-H15))</f>
        <v>9158.52</v>
      </c>
      <c r="I17" s="35">
        <f>I16-((I16/I13)*(I13-I15))</f>
        <v>6226.1307857142856</v>
      </c>
      <c r="J17" s="35">
        <f>J16-((J16/J13)*(J13-J15))</f>
        <v>4948.0442647058826</v>
      </c>
      <c r="K17" s="21"/>
      <c r="L17" s="21"/>
      <c r="M17" s="20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</row>
    <row r="18" spans="1:50" x14ac:dyDescent="0.35">
      <c r="B18" s="33"/>
      <c r="C18" s="35"/>
      <c r="D18" s="35"/>
      <c r="E18" s="35"/>
      <c r="F18" s="73"/>
      <c r="G18" s="64"/>
      <c r="H18" s="35"/>
      <c r="I18" s="35"/>
      <c r="J18" s="35"/>
      <c r="K18" s="21"/>
      <c r="L18" s="21"/>
      <c r="M18" s="20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</row>
    <row r="19" spans="1:50" s="10" customFormat="1" x14ac:dyDescent="0.35">
      <c r="A19" s="32" t="s">
        <v>85</v>
      </c>
      <c r="B19" s="30" t="s">
        <v>78</v>
      </c>
      <c r="C19" s="122">
        <v>1280</v>
      </c>
      <c r="D19" s="122">
        <v>1738</v>
      </c>
      <c r="E19" s="122">
        <v>2037</v>
      </c>
      <c r="F19" s="74" t="s">
        <v>94</v>
      </c>
      <c r="G19" s="65"/>
      <c r="H19" s="122">
        <v>2188</v>
      </c>
      <c r="I19" s="122">
        <v>1935</v>
      </c>
      <c r="J19" s="122">
        <v>3040</v>
      </c>
      <c r="K19" s="22"/>
      <c r="L19" s="22"/>
      <c r="M19" s="20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</row>
    <row r="20" spans="1:50" x14ac:dyDescent="0.35">
      <c r="A20" s="32" t="s">
        <v>83</v>
      </c>
      <c r="B20" s="30" t="s">
        <v>82</v>
      </c>
      <c r="C20" s="121">
        <v>0</v>
      </c>
      <c r="D20" s="121">
        <v>0</v>
      </c>
      <c r="E20" s="121">
        <v>0</v>
      </c>
      <c r="F20" s="74" t="s">
        <v>92</v>
      </c>
      <c r="G20" s="65"/>
      <c r="H20" s="121">
        <v>0</v>
      </c>
      <c r="I20" s="121">
        <v>879</v>
      </c>
      <c r="J20" s="121">
        <v>2114</v>
      </c>
      <c r="K20" s="22"/>
      <c r="L20" s="22"/>
      <c r="M20" s="20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</row>
    <row r="21" spans="1:50" x14ac:dyDescent="0.35">
      <c r="A21" s="32" t="s">
        <v>84</v>
      </c>
      <c r="B21" s="30" t="s">
        <v>78</v>
      </c>
      <c r="C21" s="22">
        <f>C19-(C13-C15)</f>
        <v>1280</v>
      </c>
      <c r="D21" s="22">
        <f>D19-(D13-D15)</f>
        <v>1738</v>
      </c>
      <c r="E21" s="22">
        <f>E19-(E13-E15)</f>
        <v>2037</v>
      </c>
      <c r="F21" s="115" t="s">
        <v>116</v>
      </c>
      <c r="G21" s="65"/>
      <c r="H21" s="22">
        <f>H19-(H13-H15)</f>
        <v>2188</v>
      </c>
      <c r="I21" s="22">
        <f>I19-(I13-I15)</f>
        <v>1030</v>
      </c>
      <c r="J21" s="22">
        <f>J19-(J13-J15)</f>
        <v>863</v>
      </c>
      <c r="K21" s="22"/>
      <c r="L21" s="22"/>
      <c r="M21" s="20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</row>
    <row r="22" spans="1:50" x14ac:dyDescent="0.35">
      <c r="A22" s="32" t="s">
        <v>84</v>
      </c>
      <c r="B22" s="30" t="s">
        <v>82</v>
      </c>
      <c r="C22" s="22">
        <f>C21/'Schedule II'!$C$14</f>
        <v>1242.7184466019417</v>
      </c>
      <c r="D22" s="22">
        <f>D21/'Schedule II'!$C$14</f>
        <v>1687.3786407766991</v>
      </c>
      <c r="E22" s="22">
        <f>E21/'Schedule II'!$C$14</f>
        <v>1977.6699029126214</v>
      </c>
      <c r="F22" s="115" t="s">
        <v>116</v>
      </c>
      <c r="G22" s="65"/>
      <c r="H22" s="22">
        <f>H21/'Schedule II'!$C$14</f>
        <v>2124.2718446601943</v>
      </c>
      <c r="I22" s="22">
        <f>I21/'Schedule II'!$C$14</f>
        <v>1000</v>
      </c>
      <c r="J22" s="22">
        <f>J21/'Schedule II'!$C$14</f>
        <v>837.86407766990294</v>
      </c>
      <c r="K22" s="22"/>
      <c r="L22" s="22"/>
      <c r="M22" s="20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</row>
    <row r="23" spans="1:50" x14ac:dyDescent="0.35">
      <c r="A23" s="32"/>
      <c r="B23" s="30"/>
      <c r="C23" s="22"/>
      <c r="D23" s="22"/>
      <c r="E23" s="22"/>
      <c r="F23" s="74"/>
      <c r="G23" s="65"/>
      <c r="H23" s="22"/>
      <c r="I23" s="22"/>
      <c r="J23" s="22"/>
      <c r="K23" s="22"/>
      <c r="L23" s="22"/>
      <c r="M23" s="20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</row>
    <row r="24" spans="1:50" x14ac:dyDescent="0.35">
      <c r="A24" s="13" t="s">
        <v>60</v>
      </c>
      <c r="B24" s="36" t="s">
        <v>5</v>
      </c>
      <c r="C24" s="37">
        <f>C17/C27</f>
        <v>17.113905325443788</v>
      </c>
      <c r="D24" s="37">
        <f>D17/D27</f>
        <v>26.252279569892472</v>
      </c>
      <c r="E24" s="37">
        <f>E17/E27</f>
        <v>15.092482758620688</v>
      </c>
      <c r="F24" s="75"/>
      <c r="G24" s="66"/>
      <c r="H24" s="37">
        <f>H17/H27</f>
        <v>4.9186466165413538</v>
      </c>
      <c r="I24" s="37">
        <f>I17/I27</f>
        <v>4.6918845408547742</v>
      </c>
      <c r="J24" s="37">
        <f>J17/J27</f>
        <v>8.0456004304160693</v>
      </c>
      <c r="K24" s="23"/>
      <c r="L24" s="23"/>
      <c r="M24" s="20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</row>
    <row r="25" spans="1:50" x14ac:dyDescent="0.35">
      <c r="A25" s="12" t="s">
        <v>61</v>
      </c>
      <c r="B25" s="38" t="s">
        <v>5</v>
      </c>
      <c r="C25" s="46">
        <v>3.7262</v>
      </c>
      <c r="D25" s="46">
        <v>3.7262</v>
      </c>
      <c r="E25" s="46">
        <v>3.7262</v>
      </c>
      <c r="F25" s="78" t="s">
        <v>96</v>
      </c>
      <c r="H25" s="46">
        <v>3.2536</v>
      </c>
      <c r="I25" s="46">
        <v>3.2536</v>
      </c>
      <c r="J25" s="46">
        <v>3.2536</v>
      </c>
      <c r="K25" s="23"/>
      <c r="L25" s="23"/>
      <c r="M25" s="20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</row>
    <row r="26" spans="1:50" x14ac:dyDescent="0.35">
      <c r="A26" s="13" t="s">
        <v>62</v>
      </c>
      <c r="B26" s="36" t="s">
        <v>5</v>
      </c>
      <c r="C26" s="37">
        <f>C24-C25</f>
        <v>13.387705325443788</v>
      </c>
      <c r="D26" s="37">
        <f>D24-D25</f>
        <v>22.526079569892474</v>
      </c>
      <c r="E26" s="37">
        <f>E24-E25</f>
        <v>11.366282758620688</v>
      </c>
      <c r="F26" s="115" t="s">
        <v>116</v>
      </c>
      <c r="G26" s="66"/>
      <c r="H26" s="37">
        <f>H24-H25</f>
        <v>1.6650466165413538</v>
      </c>
      <c r="I26" s="37">
        <f>I24-I25</f>
        <v>1.4382845408547742</v>
      </c>
      <c r="J26" s="37">
        <f>J24-J25</f>
        <v>4.7920004304160688</v>
      </c>
      <c r="K26" s="23"/>
      <c r="L26" s="23"/>
      <c r="M26" s="20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</row>
    <row r="27" spans="1:50" x14ac:dyDescent="0.35">
      <c r="A27" s="12" t="s">
        <v>63</v>
      </c>
      <c r="B27" s="39" t="s">
        <v>45</v>
      </c>
      <c r="C27" s="167">
        <f>Data!$F$20</f>
        <v>507</v>
      </c>
      <c r="D27" s="139">
        <f>Data!$F$21</f>
        <v>465</v>
      </c>
      <c r="E27" s="139">
        <f>Data!$F$22</f>
        <v>580</v>
      </c>
      <c r="F27" s="74" t="s">
        <v>102</v>
      </c>
      <c r="G27" s="65"/>
      <c r="H27" s="139">
        <v>1862</v>
      </c>
      <c r="I27" s="139">
        <v>1327</v>
      </c>
      <c r="J27" s="139">
        <v>615</v>
      </c>
      <c r="K27" s="22"/>
      <c r="L27" s="22"/>
      <c r="M27" s="20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</row>
    <row r="28" spans="1:50" x14ac:dyDescent="0.35">
      <c r="A28" s="13" t="s">
        <v>64</v>
      </c>
      <c r="B28" s="33" t="s">
        <v>59</v>
      </c>
      <c r="C28" s="35">
        <f>C26*C27</f>
        <v>6787.5666000000001</v>
      </c>
      <c r="D28" s="35">
        <f>D26*D27</f>
        <v>10474.627</v>
      </c>
      <c r="E28" s="35">
        <f>E26*E27</f>
        <v>6592.4439999999995</v>
      </c>
      <c r="F28" s="115" t="s">
        <v>116</v>
      </c>
      <c r="G28" s="64"/>
      <c r="H28" s="35">
        <f>H26*H27</f>
        <v>3100.3168000000005</v>
      </c>
      <c r="I28" s="35">
        <f>I26*I27</f>
        <v>1908.6035857142854</v>
      </c>
      <c r="J28" s="35">
        <f>J26*J27</f>
        <v>2947.0802647058822</v>
      </c>
      <c r="K28" s="21"/>
      <c r="L28" s="21"/>
      <c r="M28" s="20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</row>
    <row r="29" spans="1:50" x14ac:dyDescent="0.35">
      <c r="B29" s="26"/>
      <c r="C29" s="26"/>
      <c r="D29" s="26"/>
      <c r="E29" s="26"/>
      <c r="F29" s="71"/>
      <c r="G29" s="62"/>
      <c r="H29" s="26"/>
      <c r="I29" s="26"/>
      <c r="J29" s="26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1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</row>
    <row r="30" spans="1:50" x14ac:dyDescent="0.35">
      <c r="A30" s="13"/>
      <c r="B30" s="33"/>
      <c r="C30" s="33"/>
      <c r="D30" s="33"/>
      <c r="E30" s="33"/>
      <c r="F30" s="73"/>
      <c r="G30" s="64"/>
      <c r="H30" s="33"/>
      <c r="I30" s="33"/>
      <c r="J30" s="33"/>
      <c r="K30" s="30"/>
      <c r="L30" s="30"/>
      <c r="M30" s="30"/>
      <c r="N30" s="30"/>
      <c r="O30" s="21"/>
      <c r="P30" s="21"/>
      <c r="Q30" s="21"/>
      <c r="R30" s="21"/>
      <c r="S30" s="21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</row>
    <row r="31" spans="1:50" x14ac:dyDescent="0.35">
      <c r="A31" s="1" t="s">
        <v>65</v>
      </c>
      <c r="B31" s="33"/>
      <c r="C31" s="35">
        <f>SUM(C28:E28)</f>
        <v>23854.637599999998</v>
      </c>
      <c r="D31" s="35"/>
      <c r="E31" s="35"/>
      <c r="F31" s="73"/>
      <c r="G31" s="64"/>
      <c r="H31" s="35">
        <f>SUM(H28:J28)</f>
        <v>7956.0006504201683</v>
      </c>
      <c r="I31" s="35"/>
      <c r="J31" s="35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</row>
    <row r="32" spans="1:50" x14ac:dyDescent="0.35">
      <c r="A32" s="12" t="s">
        <v>68</v>
      </c>
      <c r="B32" s="6"/>
      <c r="C32" s="40">
        <f>Data!$F$24</f>
        <v>29108</v>
      </c>
      <c r="D32" s="18"/>
      <c r="E32" s="18"/>
      <c r="F32" s="71"/>
      <c r="G32" s="62"/>
      <c r="H32" s="40">
        <v>28925</v>
      </c>
      <c r="I32" s="18"/>
      <c r="J32" s="18"/>
      <c r="K32" s="22"/>
      <c r="L32" s="22"/>
      <c r="M32" s="22"/>
      <c r="N32" s="22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</row>
    <row r="33" spans="1:42" x14ac:dyDescent="0.35">
      <c r="A33" s="13" t="s">
        <v>66</v>
      </c>
      <c r="C33" s="56">
        <f>C31/C32</f>
        <v>0.81952169850212997</v>
      </c>
      <c r="F33" s="71"/>
      <c r="G33" s="62"/>
      <c r="H33" s="56">
        <f>H31/H32</f>
        <v>0.27505620226171712</v>
      </c>
      <c r="K33" s="23"/>
      <c r="L33" s="23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</row>
    <row r="34" spans="1:42" x14ac:dyDescent="0.35">
      <c r="F34" s="71"/>
      <c r="G34" s="62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</row>
    <row r="35" spans="1:42" x14ac:dyDescent="0.35">
      <c r="A35" s="1" t="s">
        <v>87</v>
      </c>
      <c r="F35" s="71"/>
      <c r="G35" s="62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</row>
    <row r="36" spans="1:42" x14ac:dyDescent="0.35">
      <c r="F36" s="71"/>
      <c r="G36" s="62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</row>
    <row r="37" spans="1:42" x14ac:dyDescent="0.35">
      <c r="F37" s="71"/>
      <c r="G37" s="62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</row>
  </sheetData>
  <phoneticPr fontId="2" type="noConversion"/>
  <printOptions gridLines="1"/>
  <pageMargins left="0" right="0" top="0" bottom="0" header="0" footer="0"/>
  <pageSetup scale="5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2"/>
  <sheetViews>
    <sheetView topLeftCell="F1" workbookViewId="0">
      <pane ySplit="1" topLeftCell="A2" activePane="bottomLeft" state="frozen"/>
      <selection pane="bottomLeft" activeCell="A29" sqref="A1:Q29"/>
    </sheetView>
  </sheetViews>
  <sheetFormatPr defaultColWidth="9.1796875" defaultRowHeight="12.5" x14ac:dyDescent="0.25"/>
  <cols>
    <col min="1" max="1" width="10" style="82" customWidth="1"/>
    <col min="2" max="2" width="11.26953125" style="96" customWidth="1"/>
    <col min="3" max="3" width="12.26953125" style="92" customWidth="1"/>
    <col min="4" max="4" width="12" style="96" customWidth="1"/>
    <col min="5" max="5" width="12" style="92" customWidth="1"/>
    <col min="6" max="6" width="10.54296875" style="96" customWidth="1"/>
    <col min="7" max="7" width="12.26953125" style="92" customWidth="1"/>
    <col min="8" max="8" width="9.81640625" style="96" customWidth="1"/>
    <col min="9" max="9" width="11.26953125" style="92" customWidth="1"/>
    <col min="10" max="10" width="10.26953125" style="100" customWidth="1"/>
    <col min="11" max="11" width="11.1796875" style="85" customWidth="1"/>
    <col min="12" max="12" width="10.26953125" style="109" bestFit="1" customWidth="1"/>
    <col min="13" max="13" width="12.26953125" style="103" bestFit="1" customWidth="1"/>
    <col min="14" max="14" width="14.453125" style="103" customWidth="1"/>
    <col min="15" max="15" width="10.26953125" style="94" bestFit="1" customWidth="1"/>
    <col min="16" max="16" width="10.54296875" style="94" customWidth="1"/>
    <col min="17" max="17" width="12.26953125" style="106" bestFit="1" customWidth="1"/>
    <col min="18" max="16384" width="9.1796875" style="137"/>
  </cols>
  <sheetData>
    <row r="1" spans="1:19" s="142" customFormat="1" ht="52" x14ac:dyDescent="0.25">
      <c r="A1" s="80" t="s">
        <v>97</v>
      </c>
      <c r="B1" s="93" t="s">
        <v>98</v>
      </c>
      <c r="C1" s="90" t="s">
        <v>99</v>
      </c>
      <c r="D1" s="93" t="s">
        <v>100</v>
      </c>
      <c r="E1" s="90" t="s">
        <v>101</v>
      </c>
      <c r="F1" s="127" t="s">
        <v>102</v>
      </c>
      <c r="G1" s="90" t="s">
        <v>103</v>
      </c>
      <c r="H1" s="127" t="s">
        <v>92</v>
      </c>
      <c r="I1" s="90" t="s">
        <v>104</v>
      </c>
      <c r="J1" s="128" t="s">
        <v>95</v>
      </c>
      <c r="K1" s="80" t="s">
        <v>106</v>
      </c>
      <c r="L1" s="129" t="s">
        <v>107</v>
      </c>
      <c r="M1" s="102" t="s">
        <v>108</v>
      </c>
      <c r="N1" s="102" t="s">
        <v>109</v>
      </c>
      <c r="O1" s="93" t="s">
        <v>110</v>
      </c>
      <c r="P1" s="93" t="s">
        <v>111</v>
      </c>
      <c r="Q1" s="105" t="s">
        <v>112</v>
      </c>
      <c r="R1" s="140"/>
      <c r="S1" s="141"/>
    </row>
    <row r="2" spans="1:19" s="163" customFormat="1" x14ac:dyDescent="0.25">
      <c r="A2" s="155">
        <v>43466</v>
      </c>
      <c r="B2" s="156">
        <v>5534</v>
      </c>
      <c r="C2" s="157">
        <v>30722.62</v>
      </c>
      <c r="D2" s="156">
        <v>1091</v>
      </c>
      <c r="E2" s="157">
        <v>5989.42</v>
      </c>
      <c r="F2" s="156">
        <v>6625</v>
      </c>
      <c r="G2" s="157">
        <v>36712.04</v>
      </c>
      <c r="H2" s="156">
        <v>0</v>
      </c>
      <c r="I2" s="157">
        <v>0</v>
      </c>
      <c r="J2" s="158">
        <v>6625</v>
      </c>
      <c r="K2" s="159">
        <v>43466</v>
      </c>
      <c r="L2" s="160">
        <v>4960</v>
      </c>
      <c r="M2" s="161">
        <v>15100.88</v>
      </c>
      <c r="N2" s="161">
        <v>6878.66</v>
      </c>
      <c r="O2" s="156">
        <v>7636.2</v>
      </c>
      <c r="P2" s="156">
        <v>-2676.2</v>
      </c>
      <c r="Q2" s="162">
        <v>21979.54</v>
      </c>
    </row>
    <row r="3" spans="1:19" s="163" customFormat="1" x14ac:dyDescent="0.25">
      <c r="A3" s="155">
        <f t="shared" ref="A3:A13" si="0">EDATE(A2,1)</f>
        <v>43497</v>
      </c>
      <c r="B3" s="156">
        <v>4788</v>
      </c>
      <c r="C3" s="157">
        <v>26525.91</v>
      </c>
      <c r="D3" s="156">
        <v>1012</v>
      </c>
      <c r="E3" s="157">
        <v>5529.75</v>
      </c>
      <c r="F3" s="156">
        <v>5800</v>
      </c>
      <c r="G3" s="157">
        <v>32055.66</v>
      </c>
      <c r="H3" s="156">
        <v>0</v>
      </c>
      <c r="I3" s="157">
        <v>0</v>
      </c>
      <c r="J3" s="158">
        <v>5800</v>
      </c>
      <c r="K3" s="159">
        <f t="shared" ref="K3:K13" si="1">EDATE(K2,1)</f>
        <v>43497</v>
      </c>
      <c r="L3" s="160">
        <v>3950</v>
      </c>
      <c r="M3" s="161">
        <v>11551.06</v>
      </c>
      <c r="N3" s="161">
        <v>4784.5200000000004</v>
      </c>
      <c r="O3" s="156">
        <v>5311.4</v>
      </c>
      <c r="P3" s="156">
        <v>-1361.4</v>
      </c>
      <c r="Q3" s="162">
        <v>16335.58</v>
      </c>
    </row>
    <row r="4" spans="1:19" s="163" customFormat="1" x14ac:dyDescent="0.25">
      <c r="A4" s="155">
        <f t="shared" si="0"/>
        <v>43525</v>
      </c>
      <c r="B4" s="156">
        <v>4927</v>
      </c>
      <c r="C4" s="157">
        <v>27298.15</v>
      </c>
      <c r="D4" s="156">
        <v>884</v>
      </c>
      <c r="E4" s="157">
        <v>4842.62</v>
      </c>
      <c r="F4" s="156">
        <v>5811</v>
      </c>
      <c r="G4" s="157">
        <v>32140.77</v>
      </c>
      <c r="H4" s="156">
        <v>0</v>
      </c>
      <c r="I4" s="157">
        <v>0</v>
      </c>
      <c r="J4" s="158">
        <v>5811</v>
      </c>
      <c r="K4" s="159">
        <f t="shared" si="1"/>
        <v>43525</v>
      </c>
      <c r="L4" s="160">
        <v>4198</v>
      </c>
      <c r="M4" s="161">
        <v>12410.22</v>
      </c>
      <c r="N4" s="161">
        <v>4726.88</v>
      </c>
      <c r="O4" s="156">
        <v>5247.4</v>
      </c>
      <c r="P4" s="156">
        <v>-1049.4000000000001</v>
      </c>
      <c r="Q4" s="162">
        <v>17137.099999999999</v>
      </c>
    </row>
    <row r="5" spans="1:19" s="163" customFormat="1" x14ac:dyDescent="0.25">
      <c r="A5" s="155">
        <f t="shared" si="0"/>
        <v>43556</v>
      </c>
      <c r="B5" s="156">
        <v>1878</v>
      </c>
      <c r="C5" s="157">
        <v>10405.709999999999</v>
      </c>
      <c r="D5" s="156">
        <v>377</v>
      </c>
      <c r="E5" s="157">
        <v>2075.48</v>
      </c>
      <c r="F5" s="156">
        <v>2255</v>
      </c>
      <c r="G5" s="157">
        <v>12481.19</v>
      </c>
      <c r="H5" s="156">
        <v>0</v>
      </c>
      <c r="I5" s="157">
        <v>0</v>
      </c>
      <c r="J5" s="158">
        <v>2255</v>
      </c>
      <c r="K5" s="159">
        <f t="shared" si="1"/>
        <v>43556</v>
      </c>
      <c r="L5" s="160">
        <v>2714</v>
      </c>
      <c r="M5" s="161">
        <v>7535.57</v>
      </c>
      <c r="N5" s="161">
        <v>1531.17</v>
      </c>
      <c r="O5" s="156">
        <v>1699.8</v>
      </c>
      <c r="P5" s="165">
        <v>1014.2</v>
      </c>
      <c r="Q5" s="162">
        <v>9066.74</v>
      </c>
    </row>
    <row r="6" spans="1:19" s="163" customFormat="1" x14ac:dyDescent="0.25">
      <c r="A6" s="155">
        <f t="shared" si="0"/>
        <v>43586</v>
      </c>
      <c r="B6" s="156">
        <v>583</v>
      </c>
      <c r="C6" s="157">
        <v>3232.95</v>
      </c>
      <c r="D6" s="156">
        <v>155</v>
      </c>
      <c r="E6" s="157">
        <v>846.28</v>
      </c>
      <c r="F6" s="156">
        <v>738</v>
      </c>
      <c r="G6" s="157">
        <v>4079.23</v>
      </c>
      <c r="H6" s="156">
        <v>0</v>
      </c>
      <c r="I6" s="157">
        <v>0</v>
      </c>
      <c r="J6" s="158">
        <v>738</v>
      </c>
      <c r="K6" s="159">
        <f t="shared" si="1"/>
        <v>43586</v>
      </c>
      <c r="L6" s="160">
        <v>3881</v>
      </c>
      <c r="M6" s="161">
        <v>10788.83</v>
      </c>
      <c r="N6" s="161">
        <v>1094.29</v>
      </c>
      <c r="O6" s="156">
        <v>1214.8</v>
      </c>
      <c r="P6" s="165">
        <v>2666.2</v>
      </c>
      <c r="Q6" s="162">
        <v>11883.12</v>
      </c>
    </row>
    <row r="7" spans="1:19" s="163" customFormat="1" x14ac:dyDescent="0.25">
      <c r="A7" s="155">
        <f t="shared" si="0"/>
        <v>43617</v>
      </c>
      <c r="B7" s="156">
        <v>560</v>
      </c>
      <c r="C7" s="157">
        <v>2969.9</v>
      </c>
      <c r="D7" s="156">
        <v>131</v>
      </c>
      <c r="E7" s="157">
        <v>721.99</v>
      </c>
      <c r="F7" s="156">
        <v>691</v>
      </c>
      <c r="G7" s="157">
        <v>3691.89</v>
      </c>
      <c r="H7" s="156">
        <v>1853</v>
      </c>
      <c r="I7" s="157">
        <v>12643.34</v>
      </c>
      <c r="J7" s="158">
        <v>2544</v>
      </c>
      <c r="K7" s="159">
        <f t="shared" si="1"/>
        <v>43617</v>
      </c>
      <c r="L7" s="160">
        <v>3563</v>
      </c>
      <c r="M7" s="161">
        <v>9461.3700000000008</v>
      </c>
      <c r="N7" s="161">
        <v>2399.4</v>
      </c>
      <c r="O7" s="156">
        <v>2663.6</v>
      </c>
      <c r="P7" s="165">
        <v>899.4</v>
      </c>
      <c r="Q7" s="162">
        <v>11860.77</v>
      </c>
    </row>
    <row r="8" spans="1:19" x14ac:dyDescent="0.25">
      <c r="A8" s="130">
        <f t="shared" si="0"/>
        <v>43647</v>
      </c>
      <c r="B8" s="116">
        <v>367</v>
      </c>
      <c r="C8" s="131">
        <v>2545.09</v>
      </c>
      <c r="D8" s="116">
        <v>99</v>
      </c>
      <c r="E8" s="131">
        <v>684.26</v>
      </c>
      <c r="F8" s="116">
        <v>466</v>
      </c>
      <c r="G8" s="131">
        <v>3229.35</v>
      </c>
      <c r="H8" s="116">
        <v>4263</v>
      </c>
      <c r="I8" s="131">
        <v>29571.61</v>
      </c>
      <c r="J8" s="132">
        <v>4729</v>
      </c>
      <c r="K8" s="133">
        <f t="shared" si="1"/>
        <v>43647</v>
      </c>
      <c r="L8" s="134">
        <v>3949</v>
      </c>
      <c r="M8" s="135">
        <v>10432.370000000001</v>
      </c>
      <c r="N8" s="135">
        <v>4050.5</v>
      </c>
      <c r="O8" s="116">
        <v>4496.6000000000004</v>
      </c>
      <c r="P8" s="166">
        <v>-547.6</v>
      </c>
      <c r="Q8" s="136">
        <v>14482.87</v>
      </c>
    </row>
    <row r="9" spans="1:19" x14ac:dyDescent="0.25">
      <c r="A9" s="130">
        <f t="shared" si="0"/>
        <v>43678</v>
      </c>
      <c r="B9" s="116">
        <v>356</v>
      </c>
      <c r="C9" s="131">
        <v>2472.86</v>
      </c>
      <c r="D9" s="116">
        <v>108</v>
      </c>
      <c r="E9" s="131">
        <v>750.15</v>
      </c>
      <c r="F9" s="116">
        <v>464</v>
      </c>
      <c r="G9" s="131">
        <v>3223.01</v>
      </c>
      <c r="H9" s="116">
        <v>1651</v>
      </c>
      <c r="I9" s="131">
        <v>11749.99</v>
      </c>
      <c r="J9" s="132">
        <v>2115</v>
      </c>
      <c r="K9" s="133">
        <f t="shared" si="1"/>
        <v>43678</v>
      </c>
      <c r="L9" s="134">
        <v>4810</v>
      </c>
      <c r="M9" s="135">
        <v>11898.08</v>
      </c>
      <c r="N9" s="135">
        <v>1736.67</v>
      </c>
      <c r="O9" s="116">
        <v>1927.9</v>
      </c>
      <c r="P9" s="166">
        <v>2882.1</v>
      </c>
      <c r="Q9" s="136">
        <v>13634.75</v>
      </c>
    </row>
    <row r="10" spans="1:19" x14ac:dyDescent="0.25">
      <c r="A10" s="130">
        <f t="shared" si="0"/>
        <v>43709</v>
      </c>
      <c r="B10" s="116">
        <v>333</v>
      </c>
      <c r="C10" s="131">
        <v>2312.33</v>
      </c>
      <c r="D10" s="116">
        <v>106</v>
      </c>
      <c r="E10" s="131">
        <v>732.35</v>
      </c>
      <c r="F10" s="116">
        <v>439</v>
      </c>
      <c r="G10" s="131">
        <v>3044.68</v>
      </c>
      <c r="H10" s="116">
        <v>36</v>
      </c>
      <c r="I10" s="131">
        <v>235.62</v>
      </c>
      <c r="J10" s="132">
        <v>475</v>
      </c>
      <c r="K10" s="133">
        <f t="shared" si="1"/>
        <v>43709</v>
      </c>
      <c r="L10" s="134">
        <v>2500</v>
      </c>
      <c r="M10" s="135">
        <v>7147.5</v>
      </c>
      <c r="N10" s="135">
        <v>1174.58</v>
      </c>
      <c r="O10" s="116">
        <v>1303.9000000000001</v>
      </c>
      <c r="P10" s="166">
        <v>1196.0999999999999</v>
      </c>
      <c r="Q10" s="136">
        <v>8322.08</v>
      </c>
    </row>
    <row r="11" spans="1:19" x14ac:dyDescent="0.25">
      <c r="A11" s="88">
        <f t="shared" si="0"/>
        <v>43739</v>
      </c>
      <c r="B11" s="97">
        <v>726</v>
      </c>
      <c r="C11" s="125">
        <v>6097.25</v>
      </c>
      <c r="D11" s="97">
        <v>196</v>
      </c>
      <c r="E11" s="125">
        <v>1640.92</v>
      </c>
      <c r="F11" s="97">
        <v>922</v>
      </c>
      <c r="G11" s="125">
        <v>7738.17</v>
      </c>
      <c r="H11" s="97">
        <v>963</v>
      </c>
      <c r="I11" s="125">
        <v>7317.95</v>
      </c>
      <c r="J11" s="99">
        <v>1885</v>
      </c>
      <c r="K11" s="89">
        <f t="shared" si="1"/>
        <v>43739</v>
      </c>
      <c r="L11" s="110">
        <v>4125</v>
      </c>
      <c r="M11" s="126">
        <v>10128.549999999999</v>
      </c>
      <c r="N11" s="126">
        <v>2131.89</v>
      </c>
      <c r="O11" s="97">
        <v>2366.6999999999998</v>
      </c>
      <c r="P11" s="97"/>
      <c r="Q11" s="107">
        <v>12260.44</v>
      </c>
    </row>
    <row r="12" spans="1:19" x14ac:dyDescent="0.25">
      <c r="A12" s="88">
        <f t="shared" si="0"/>
        <v>43770</v>
      </c>
      <c r="B12" s="97">
        <v>3020</v>
      </c>
      <c r="C12" s="125">
        <v>25346.720000000001</v>
      </c>
      <c r="D12" s="97">
        <v>659</v>
      </c>
      <c r="E12" s="125">
        <v>5477.16</v>
      </c>
      <c r="F12" s="97">
        <v>3679</v>
      </c>
      <c r="G12" s="125">
        <v>30823.88</v>
      </c>
      <c r="H12" s="97">
        <v>0</v>
      </c>
      <c r="I12" s="125">
        <v>0</v>
      </c>
      <c r="J12" s="99">
        <v>3679</v>
      </c>
      <c r="K12" s="89">
        <f t="shared" si="1"/>
        <v>43770</v>
      </c>
      <c r="L12" s="110">
        <v>4175</v>
      </c>
      <c r="M12" s="126">
        <v>11245.33</v>
      </c>
      <c r="N12" s="126">
        <v>4298.1499999999996</v>
      </c>
      <c r="O12" s="97">
        <v>4771.5</v>
      </c>
      <c r="P12" s="97">
        <v>0</v>
      </c>
      <c r="Q12" s="107">
        <v>15543.48</v>
      </c>
    </row>
    <row r="13" spans="1:19" x14ac:dyDescent="0.25">
      <c r="A13" s="88">
        <f t="shared" si="0"/>
        <v>43800</v>
      </c>
      <c r="B13" s="97">
        <v>3828</v>
      </c>
      <c r="C13" s="125">
        <v>32092.58</v>
      </c>
      <c r="D13" s="97">
        <v>830</v>
      </c>
      <c r="E13" s="125">
        <v>6923.93</v>
      </c>
      <c r="F13" s="97">
        <v>4658</v>
      </c>
      <c r="G13" s="125">
        <v>39016.51</v>
      </c>
      <c r="H13" s="97">
        <v>0</v>
      </c>
      <c r="I13" s="125">
        <v>0</v>
      </c>
      <c r="J13" s="99">
        <f>SUM(B13+D13+H13)</f>
        <v>4658</v>
      </c>
      <c r="K13" s="89">
        <f t="shared" si="1"/>
        <v>43800</v>
      </c>
      <c r="L13" s="110">
        <v>5614</v>
      </c>
      <c r="M13" s="126">
        <v>14746.58</v>
      </c>
      <c r="N13" s="126">
        <v>4706.13</v>
      </c>
      <c r="O13" s="97">
        <v>5224.3999999999996</v>
      </c>
      <c r="P13" s="97"/>
      <c r="Q13" s="107">
        <v>19452.71</v>
      </c>
    </row>
    <row r="14" spans="1:19" s="164" customFormat="1" x14ac:dyDescent="0.25">
      <c r="A14" s="88">
        <v>43850</v>
      </c>
      <c r="B14" s="97">
        <v>4401</v>
      </c>
      <c r="C14" s="125">
        <v>34665.97</v>
      </c>
      <c r="D14" s="97">
        <v>950</v>
      </c>
      <c r="E14" s="125">
        <v>7428.08</v>
      </c>
      <c r="F14" s="97">
        <f t="shared" ref="F14:G22" si="2">SUM(B14+D14)</f>
        <v>5351</v>
      </c>
      <c r="G14" s="97">
        <f t="shared" si="2"/>
        <v>42094.05</v>
      </c>
      <c r="H14" s="97"/>
      <c r="I14" s="125"/>
      <c r="J14" s="99">
        <f>SUM(B14+D14+H14)</f>
        <v>5351</v>
      </c>
      <c r="K14" s="89">
        <v>43850</v>
      </c>
      <c r="L14" s="110">
        <v>2852</v>
      </c>
      <c r="M14" s="126">
        <v>7600.88</v>
      </c>
      <c r="N14" s="126">
        <v>5223.1400000000003</v>
      </c>
      <c r="O14" s="97">
        <v>5799</v>
      </c>
      <c r="P14" s="97"/>
      <c r="Q14" s="107">
        <f>SUM(M14+N14)</f>
        <v>12824.02</v>
      </c>
    </row>
    <row r="15" spans="1:19" s="164" customFormat="1" x14ac:dyDescent="0.25">
      <c r="A15" s="88">
        <v>43881</v>
      </c>
      <c r="B15" s="97">
        <v>4521</v>
      </c>
      <c r="C15" s="125">
        <v>35612.19</v>
      </c>
      <c r="D15" s="97">
        <v>1010</v>
      </c>
      <c r="E15" s="125">
        <v>7893.54</v>
      </c>
      <c r="F15" s="97">
        <f t="shared" si="2"/>
        <v>5531</v>
      </c>
      <c r="G15" s="97">
        <f t="shared" si="2"/>
        <v>43505.73</v>
      </c>
      <c r="H15" s="97"/>
      <c r="I15" s="125"/>
      <c r="J15" s="99">
        <f t="shared" ref="J15:J22" si="3">SUM(B15+D15+H15)</f>
        <v>5531</v>
      </c>
      <c r="K15" s="89">
        <v>43881</v>
      </c>
      <c r="L15" s="110">
        <v>2775</v>
      </c>
      <c r="M15" s="126">
        <v>7389.48</v>
      </c>
      <c r="N15" s="126">
        <v>5181.75</v>
      </c>
      <c r="O15" s="97">
        <f>SUM(N15/0.9007)</f>
        <v>5753.0254246697014</v>
      </c>
      <c r="P15" s="97"/>
      <c r="Q15" s="107">
        <f>SUM(M15+N15)</f>
        <v>12571.23</v>
      </c>
    </row>
    <row r="16" spans="1:19" s="164" customFormat="1" x14ac:dyDescent="0.25">
      <c r="A16" s="88">
        <v>43910</v>
      </c>
      <c r="B16" s="97">
        <v>2976</v>
      </c>
      <c r="C16" s="125">
        <v>19128.53</v>
      </c>
      <c r="D16" s="97">
        <v>635</v>
      </c>
      <c r="E16" s="125">
        <v>4045.92</v>
      </c>
      <c r="F16" s="97">
        <f t="shared" si="2"/>
        <v>3611</v>
      </c>
      <c r="G16" s="97">
        <f t="shared" si="2"/>
        <v>23174.449999999997</v>
      </c>
      <c r="H16" s="97"/>
      <c r="I16" s="125"/>
      <c r="J16" s="99">
        <f t="shared" si="3"/>
        <v>3611</v>
      </c>
      <c r="K16" s="89">
        <v>43910</v>
      </c>
      <c r="L16" s="110">
        <v>2900</v>
      </c>
      <c r="M16" s="126">
        <v>7725.6</v>
      </c>
      <c r="N16" s="126">
        <v>2990.3</v>
      </c>
      <c r="O16" s="97">
        <f>SUM(N16/0.9007)</f>
        <v>3319.9733540579555</v>
      </c>
      <c r="P16" s="97"/>
      <c r="Q16" s="107">
        <f>SUM(M16+N16)</f>
        <v>10715.900000000001</v>
      </c>
    </row>
    <row r="17" spans="1:17" s="164" customFormat="1" x14ac:dyDescent="0.25">
      <c r="A17" s="88">
        <v>43941</v>
      </c>
      <c r="B17" s="97">
        <v>1556</v>
      </c>
      <c r="C17" s="125">
        <v>10017.93</v>
      </c>
      <c r="D17" s="97">
        <v>306</v>
      </c>
      <c r="E17" s="125">
        <v>1951.61</v>
      </c>
      <c r="F17" s="97">
        <f t="shared" si="2"/>
        <v>1862</v>
      </c>
      <c r="G17" s="97">
        <f t="shared" si="2"/>
        <v>11969.54</v>
      </c>
      <c r="H17" s="97">
        <v>0</v>
      </c>
      <c r="I17" s="125">
        <v>0</v>
      </c>
      <c r="J17" s="99">
        <f t="shared" si="3"/>
        <v>1862</v>
      </c>
      <c r="K17" s="89">
        <v>43941</v>
      </c>
      <c r="L17" s="110">
        <v>2700</v>
      </c>
      <c r="M17" s="126">
        <v>7187.8</v>
      </c>
      <c r="N17" s="126">
        <v>1970.72</v>
      </c>
      <c r="O17" s="97">
        <f t="shared" ref="O17:O22" si="4">SUM(N17/0.9007)</f>
        <v>2187.9871211280115</v>
      </c>
      <c r="P17" s="97"/>
      <c r="Q17" s="107">
        <f t="shared" ref="Q17:Q22" si="5">SUM(M17+N17)</f>
        <v>9158.52</v>
      </c>
    </row>
    <row r="18" spans="1:17" s="164" customFormat="1" x14ac:dyDescent="0.25">
      <c r="A18" s="88">
        <v>43971</v>
      </c>
      <c r="B18" s="97">
        <v>1084</v>
      </c>
      <c r="C18" s="125">
        <v>6967.19</v>
      </c>
      <c r="D18" s="97">
        <v>243</v>
      </c>
      <c r="E18" s="125">
        <v>1553.28</v>
      </c>
      <c r="F18" s="97">
        <f t="shared" si="2"/>
        <v>1327</v>
      </c>
      <c r="G18" s="97">
        <f t="shared" si="2"/>
        <v>8520.4699999999993</v>
      </c>
      <c r="H18" s="97">
        <v>879</v>
      </c>
      <c r="I18" s="125">
        <v>6682.61</v>
      </c>
      <c r="J18" s="99">
        <f t="shared" si="3"/>
        <v>2206</v>
      </c>
      <c r="K18" s="89">
        <v>43971</v>
      </c>
      <c r="L18" s="110">
        <v>2800</v>
      </c>
      <c r="M18" s="126">
        <v>7456.7</v>
      </c>
      <c r="N18" s="126">
        <v>1742.86</v>
      </c>
      <c r="O18" s="97">
        <f t="shared" si="4"/>
        <v>1935.0061063617186</v>
      </c>
      <c r="P18" s="97"/>
      <c r="Q18" s="107">
        <f t="shared" si="5"/>
        <v>9199.56</v>
      </c>
    </row>
    <row r="19" spans="1:17" s="164" customFormat="1" x14ac:dyDescent="0.25">
      <c r="A19" s="88">
        <v>44002</v>
      </c>
      <c r="B19" s="97">
        <v>451</v>
      </c>
      <c r="C19" s="125">
        <v>2898.3</v>
      </c>
      <c r="D19" s="97">
        <v>164</v>
      </c>
      <c r="E19" s="125">
        <v>1054.1300000000001</v>
      </c>
      <c r="F19" s="97">
        <f t="shared" si="2"/>
        <v>615</v>
      </c>
      <c r="G19" s="97">
        <f t="shared" si="2"/>
        <v>3952.4300000000003</v>
      </c>
      <c r="H19" s="97">
        <v>2114</v>
      </c>
      <c r="I19" s="125">
        <v>16061.13</v>
      </c>
      <c r="J19" s="99">
        <f t="shared" si="3"/>
        <v>2729</v>
      </c>
      <c r="K19" s="89">
        <v>44002</v>
      </c>
      <c r="L19" s="110">
        <v>3740</v>
      </c>
      <c r="M19" s="126">
        <v>9101.7000000000007</v>
      </c>
      <c r="N19" s="126">
        <v>2738.15</v>
      </c>
      <c r="O19" s="97">
        <f t="shared" si="4"/>
        <v>3040.0244254468748</v>
      </c>
      <c r="P19" s="97"/>
      <c r="Q19" s="107">
        <f t="shared" si="5"/>
        <v>11839.85</v>
      </c>
    </row>
    <row r="20" spans="1:17" s="164" customFormat="1" x14ac:dyDescent="0.25">
      <c r="A20" s="88">
        <v>44032</v>
      </c>
      <c r="B20" s="97">
        <v>360</v>
      </c>
      <c r="C20" s="125">
        <v>2207.5100000000002</v>
      </c>
      <c r="D20" s="97">
        <v>147</v>
      </c>
      <c r="E20" s="125">
        <v>899.12</v>
      </c>
      <c r="F20" s="97">
        <f t="shared" si="2"/>
        <v>507</v>
      </c>
      <c r="G20" s="97">
        <f t="shared" si="2"/>
        <v>3106.63</v>
      </c>
      <c r="H20" s="97">
        <v>0</v>
      </c>
      <c r="I20" s="125">
        <v>0</v>
      </c>
      <c r="J20" s="99">
        <f t="shared" si="3"/>
        <v>507</v>
      </c>
      <c r="K20" s="89">
        <v>44032</v>
      </c>
      <c r="L20" s="110">
        <v>2825</v>
      </c>
      <c r="M20" s="126">
        <v>7523.93</v>
      </c>
      <c r="N20" s="126">
        <v>1152.82</v>
      </c>
      <c r="O20" s="97">
        <f t="shared" si="4"/>
        <v>1279.9156211835239</v>
      </c>
      <c r="P20" s="97"/>
      <c r="Q20" s="107">
        <f t="shared" si="5"/>
        <v>8676.75</v>
      </c>
    </row>
    <row r="21" spans="1:17" s="164" customFormat="1" x14ac:dyDescent="0.25">
      <c r="A21" s="88">
        <v>44063</v>
      </c>
      <c r="B21" s="97">
        <v>343</v>
      </c>
      <c r="C21" s="125">
        <v>2103.44</v>
      </c>
      <c r="D21" s="97">
        <v>122</v>
      </c>
      <c r="E21" s="125">
        <v>750.08</v>
      </c>
      <c r="F21" s="97">
        <f t="shared" si="2"/>
        <v>465</v>
      </c>
      <c r="G21" s="97">
        <f t="shared" si="2"/>
        <v>2853.52</v>
      </c>
      <c r="H21" s="97">
        <v>0</v>
      </c>
      <c r="I21" s="125">
        <v>0</v>
      </c>
      <c r="J21" s="99">
        <f t="shared" si="3"/>
        <v>465</v>
      </c>
      <c r="K21" s="89">
        <v>44063</v>
      </c>
      <c r="L21" s="110">
        <v>4097</v>
      </c>
      <c r="M21" s="126">
        <v>10641.88</v>
      </c>
      <c r="N21" s="126">
        <v>1565.43</v>
      </c>
      <c r="O21" s="97">
        <f t="shared" si="4"/>
        <v>1738.014877317642</v>
      </c>
      <c r="P21" s="97"/>
      <c r="Q21" s="107">
        <f t="shared" si="5"/>
        <v>12207.31</v>
      </c>
    </row>
    <row r="22" spans="1:17" s="164" customFormat="1" x14ac:dyDescent="0.25">
      <c r="A22" s="88">
        <v>44094</v>
      </c>
      <c r="B22" s="97">
        <v>431</v>
      </c>
      <c r="C22" s="125">
        <v>2644.31</v>
      </c>
      <c r="D22" s="97">
        <v>149</v>
      </c>
      <c r="E22" s="125">
        <v>908.2</v>
      </c>
      <c r="F22" s="97">
        <f t="shared" si="2"/>
        <v>580</v>
      </c>
      <c r="G22" s="97">
        <f t="shared" si="2"/>
        <v>3552.51</v>
      </c>
      <c r="H22" s="97">
        <v>0</v>
      </c>
      <c r="I22" s="125">
        <v>0</v>
      </c>
      <c r="J22" s="99">
        <f t="shared" si="3"/>
        <v>580</v>
      </c>
      <c r="K22" s="89">
        <v>44094</v>
      </c>
      <c r="L22" s="110">
        <v>2600</v>
      </c>
      <c r="M22" s="126">
        <v>6918.9</v>
      </c>
      <c r="N22" s="126">
        <v>1834.74</v>
      </c>
      <c r="O22" s="97">
        <f t="shared" si="4"/>
        <v>2037.0156544909516</v>
      </c>
      <c r="P22" s="97">
        <v>-13112</v>
      </c>
      <c r="Q22" s="107">
        <f t="shared" si="5"/>
        <v>8753.64</v>
      </c>
    </row>
    <row r="23" spans="1:17" x14ac:dyDescent="0.25">
      <c r="A23" s="81"/>
      <c r="B23" s="94"/>
      <c r="C23" s="91"/>
      <c r="D23" s="94"/>
      <c r="E23" s="91"/>
      <c r="F23" s="94"/>
      <c r="G23" s="91"/>
      <c r="H23" s="94"/>
      <c r="I23" s="91"/>
      <c r="J23" s="98"/>
      <c r="K23" s="86"/>
    </row>
    <row r="24" spans="1:17" s="143" customFormat="1" ht="13" x14ac:dyDescent="0.3">
      <c r="A24" s="83" t="s">
        <v>105</v>
      </c>
      <c r="B24" s="95">
        <f>SUM(B11:B22)</f>
        <v>23697</v>
      </c>
      <c r="C24" s="95">
        <f t="shared" ref="C24:J24" si="6">SUM(C11:C22)</f>
        <v>179781.92</v>
      </c>
      <c r="D24" s="95">
        <f t="shared" si="6"/>
        <v>5411</v>
      </c>
      <c r="E24" s="95">
        <f t="shared" si="6"/>
        <v>40525.97</v>
      </c>
      <c r="F24" s="95">
        <f t="shared" si="6"/>
        <v>29108</v>
      </c>
      <c r="G24" s="95">
        <f t="shared" si="6"/>
        <v>220307.88999999998</v>
      </c>
      <c r="H24" s="95">
        <f t="shared" si="6"/>
        <v>3956</v>
      </c>
      <c r="I24" s="95">
        <f t="shared" si="6"/>
        <v>30061.69</v>
      </c>
      <c r="J24" s="95">
        <f t="shared" si="6"/>
        <v>33064</v>
      </c>
      <c r="K24" s="84"/>
      <c r="L24" s="111"/>
      <c r="M24" s="104"/>
      <c r="N24" s="104"/>
      <c r="O24" s="101"/>
      <c r="P24" s="101"/>
      <c r="Q24" s="108"/>
    </row>
    <row r="25" spans="1:17" ht="13" x14ac:dyDescent="0.25">
      <c r="A25" s="81"/>
      <c r="B25" s="94"/>
      <c r="C25" s="91"/>
      <c r="D25" s="94"/>
      <c r="E25" s="91"/>
      <c r="F25" s="94"/>
      <c r="G25" s="91"/>
      <c r="H25" s="94"/>
      <c r="I25" s="91"/>
      <c r="J25" s="98"/>
      <c r="K25" s="87" t="s">
        <v>105</v>
      </c>
      <c r="L25" s="144">
        <f t="shared" ref="L25:Q25" si="7">SUM(L11:L22)</f>
        <v>41203</v>
      </c>
      <c r="M25" s="144">
        <f t="shared" si="7"/>
        <v>107667.32999999999</v>
      </c>
      <c r="N25" s="144">
        <f t="shared" si="7"/>
        <v>35536.079999999994</v>
      </c>
      <c r="O25" s="144">
        <f t="shared" si="7"/>
        <v>39452.562584656378</v>
      </c>
      <c r="P25" s="144">
        <f t="shared" si="7"/>
        <v>-13112</v>
      </c>
      <c r="Q25" s="144">
        <f t="shared" si="7"/>
        <v>143203.41000000003</v>
      </c>
    </row>
    <row r="26" spans="1:17" x14ac:dyDescent="0.25">
      <c r="A26" s="81"/>
      <c r="B26" s="94"/>
      <c r="C26" s="91"/>
      <c r="D26" s="94"/>
      <c r="E26" s="91"/>
      <c r="F26" s="94"/>
      <c r="G26" s="91"/>
      <c r="H26" s="94"/>
      <c r="I26" s="91"/>
      <c r="J26" s="98"/>
    </row>
    <row r="27" spans="1:17" ht="13" x14ac:dyDescent="0.25">
      <c r="A27" s="81"/>
      <c r="B27" s="94"/>
      <c r="C27" s="91"/>
      <c r="D27" s="94"/>
      <c r="E27" s="91"/>
      <c r="F27" s="94"/>
      <c r="G27" s="91"/>
      <c r="H27" s="94"/>
      <c r="I27" s="91"/>
      <c r="J27" s="98"/>
      <c r="L27" s="109" t="s">
        <v>72</v>
      </c>
      <c r="O27" s="95"/>
      <c r="P27" s="95"/>
    </row>
    <row r="28" spans="1:17" ht="13" x14ac:dyDescent="0.3">
      <c r="B28" s="117" t="s">
        <v>117</v>
      </c>
      <c r="C28" s="91"/>
      <c r="D28" s="94"/>
      <c r="E28" s="91"/>
      <c r="F28" s="94"/>
      <c r="G28" s="91"/>
      <c r="H28" s="94"/>
      <c r="I28" s="91"/>
      <c r="J28" s="98"/>
    </row>
    <row r="29" spans="1:17" x14ac:dyDescent="0.25">
      <c r="A29" s="81"/>
      <c r="B29" s="113" t="s">
        <v>115</v>
      </c>
      <c r="C29" s="91"/>
      <c r="D29" s="94"/>
      <c r="E29" s="91"/>
      <c r="F29" s="94"/>
      <c r="G29" s="91"/>
      <c r="H29" s="94"/>
      <c r="I29" s="91"/>
      <c r="J29" s="98"/>
    </row>
    <row r="30" spans="1:17" x14ac:dyDescent="0.25">
      <c r="A30" s="81"/>
      <c r="B30" s="94"/>
      <c r="C30" s="91"/>
      <c r="D30" s="94"/>
      <c r="E30" s="91"/>
      <c r="F30" s="94"/>
      <c r="G30" s="91"/>
      <c r="H30" s="94"/>
      <c r="I30" s="91"/>
      <c r="J30" s="98"/>
    </row>
    <row r="31" spans="1:17" x14ac:dyDescent="0.25">
      <c r="B31" s="94"/>
      <c r="C31" s="91"/>
      <c r="D31" s="94"/>
      <c r="E31" s="91"/>
      <c r="F31" s="94"/>
      <c r="G31" s="91"/>
      <c r="H31" s="94"/>
      <c r="I31" s="91"/>
      <c r="J31" s="98"/>
    </row>
    <row r="32" spans="1:17" x14ac:dyDescent="0.25">
      <c r="B32" s="94"/>
      <c r="C32" s="91"/>
      <c r="D32" s="94"/>
      <c r="E32" s="91"/>
      <c r="F32" s="94"/>
      <c r="G32" s="91"/>
      <c r="H32" s="94"/>
      <c r="I32" s="91"/>
      <c r="J32" s="98"/>
    </row>
  </sheetData>
  <printOptions gridLines="1"/>
  <pageMargins left="0.2" right="0.2" top="0.25" bottom="0.2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Schedule I</vt:lpstr>
      <vt:lpstr>Schedule II</vt:lpstr>
      <vt:lpstr>Schedule IV</vt:lpstr>
      <vt:lpstr>Data</vt:lpstr>
      <vt:lpstr>'Schedule I'!Print_Area</vt:lpstr>
      <vt:lpstr>'Schedule II'!Print_Area</vt:lpstr>
      <vt:lpstr>'Schedule IV'!Print_Area</vt:lpstr>
    </vt:vector>
  </TitlesOfParts>
  <Company>Kentucky Public Service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McGee</dc:creator>
  <cp:lastModifiedBy>Kerry R. Kasey</cp:lastModifiedBy>
  <cp:lastPrinted>2020-11-23T21:18:00Z</cp:lastPrinted>
  <dcterms:created xsi:type="dcterms:W3CDTF">2006-10-26T17:11:15Z</dcterms:created>
  <dcterms:modified xsi:type="dcterms:W3CDTF">2020-11-27T03:39:33Z</dcterms:modified>
</cp:coreProperties>
</file>