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2020-00378\Discovery\Staff First Set\Final Responses\"/>
    </mc:Choice>
  </mc:AlternateContent>
  <bookViews>
    <workbookView xWindow="0" yWindow="0" windowWidth="28800" windowHeight="12440"/>
  </bookViews>
  <sheets>
    <sheet name="September 20 TCPS CALC" sheetId="1" r:id="rId1"/>
    <sheet name="Sep 20 TCI REV" sheetId="2" r:id="rId2"/>
    <sheet name="September 20 GCI REV" sheetId="3" r:id="rId3"/>
    <sheet name="October 20 TCPS CALC" sheetId="4" r:id="rId4"/>
    <sheet name="October 20 TCI " sheetId="5" r:id="rId5"/>
    <sheet name="October 20 GCI " sheetId="6" r:id="rId6"/>
    <sheet name="November 20 TCPS CALC" sheetId="7" r:id="rId7"/>
    <sheet name="November 20 TCI " sheetId="8" r:id="rId8"/>
    <sheet name="November 20 GCI " sheetId="9" r:id="rId9"/>
    <sheet name="December 20 TCPS CALC" sheetId="10" r:id="rId10"/>
    <sheet name="December 20 TCI " sheetId="11" r:id="rId11"/>
    <sheet name="December 20 GCI " sheetId="12" r:id="rId12"/>
    <sheet name="January 21 TCPS CALC" sheetId="16" r:id="rId13"/>
    <sheet name="January 21 TCI " sheetId="17" r:id="rId14"/>
    <sheet name="January 21 GCI " sheetId="18" r:id="rId15"/>
  </sheets>
  <definedNames>
    <definedName name="_xlnm.Print_Area" localSheetId="11">'December 20 GCI '!$A$1:$P$72</definedName>
    <definedName name="_xlnm.Print_Area" localSheetId="10">'December 20 TCI '!$A$1:$L$42</definedName>
    <definedName name="_xlnm.Print_Area" localSheetId="9">'December 20 TCPS CALC'!$A$1:$H$40</definedName>
    <definedName name="_xlnm.Print_Area" localSheetId="14">'January 21 GCI '!$A$1:$P$72</definedName>
    <definedName name="_xlnm.Print_Area" localSheetId="13">'January 21 TCI '!$A$1:$L$42</definedName>
    <definedName name="_xlnm.Print_Area" localSheetId="12">'January 21 TCPS CALC'!$A$1:$H$40</definedName>
    <definedName name="_xlnm.Print_Area" localSheetId="8">'November 20 GCI '!$A$1:$P$72</definedName>
    <definedName name="_xlnm.Print_Area" localSheetId="7">'November 20 TCI '!$A$1:$L$42</definedName>
    <definedName name="_xlnm.Print_Area" localSheetId="6">'November 20 TCPS CALC'!$A$1:$H$40</definedName>
    <definedName name="_xlnm.Print_Area" localSheetId="5">'October 20 GCI '!$A$1:$P$72</definedName>
    <definedName name="_xlnm.Print_Area" localSheetId="4">'October 20 TCI '!$A$1:$L$40</definedName>
    <definedName name="_xlnm.Print_Area" localSheetId="3">'October 20 TCPS CALC'!$A$1:$H$40</definedName>
    <definedName name="_xlnm.Print_Area" localSheetId="1">'Sep 20 TCI REV'!$A$1:$L$40</definedName>
    <definedName name="_xlnm.Print_Area" localSheetId="2">'September 20 GCI REV'!$A$1:$P$72</definedName>
    <definedName name="_xlnm.Print_Area" localSheetId="0">'September 20 TCPS CALC'!$A$7:$H$46</definedName>
    <definedName name="_xlnm.Print_Titles" localSheetId="11">'December 20 GCI '!$1:$9</definedName>
    <definedName name="_xlnm.Print_Titles" localSheetId="14">'January 21 GCI '!$1:$9</definedName>
    <definedName name="_xlnm.Print_Titles" localSheetId="8">'November 20 GCI '!$1:$9</definedName>
    <definedName name="_xlnm.Print_Titles" localSheetId="5">'October 20 GCI '!$1:$9</definedName>
    <definedName name="_xlnm.Print_Titles" localSheetId="2">'September 20 GCI REV'!$1:$9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8" l="1"/>
  <c r="E52" i="18"/>
  <c r="G42" i="18"/>
  <c r="F42" i="18"/>
  <c r="E42" i="18"/>
  <c r="D40" i="18"/>
  <c r="C40" i="18"/>
  <c r="L40" i="18" s="1"/>
  <c r="B40" i="18"/>
  <c r="D39" i="18"/>
  <c r="C39" i="18"/>
  <c r="B39" i="18"/>
  <c r="D38" i="18"/>
  <c r="C38" i="18"/>
  <c r="L38" i="18" s="1"/>
  <c r="B38" i="18"/>
  <c r="D37" i="18"/>
  <c r="M37" i="18" s="1"/>
  <c r="C37" i="18"/>
  <c r="L37" i="18" s="1"/>
  <c r="B37" i="18"/>
  <c r="J36" i="18"/>
  <c r="J37" i="18" s="1"/>
  <c r="J38" i="18" s="1"/>
  <c r="I36" i="18"/>
  <c r="I37" i="18" s="1"/>
  <c r="I38" i="18" s="1"/>
  <c r="I39" i="18" s="1"/>
  <c r="I40" i="18" s="1"/>
  <c r="H36" i="18"/>
  <c r="P36" i="18" s="1"/>
  <c r="D36" i="18"/>
  <c r="C36" i="18"/>
  <c r="L36" i="18" s="1"/>
  <c r="B36" i="18"/>
  <c r="K36" i="18" s="1"/>
  <c r="P35" i="18"/>
  <c r="L35" i="18"/>
  <c r="D35" i="18"/>
  <c r="M35" i="18" s="1"/>
  <c r="C35" i="18"/>
  <c r="B35" i="18"/>
  <c r="K35" i="18" s="1"/>
  <c r="D34" i="18"/>
  <c r="M34" i="18" s="1"/>
  <c r="C34" i="18"/>
  <c r="B34" i="18"/>
  <c r="D33" i="18"/>
  <c r="C33" i="18"/>
  <c r="B33" i="18"/>
  <c r="D32" i="18"/>
  <c r="C32" i="18"/>
  <c r="B32" i="18"/>
  <c r="D31" i="18"/>
  <c r="C31" i="18"/>
  <c r="B31" i="18"/>
  <c r="P30" i="18"/>
  <c r="K30" i="18"/>
  <c r="J30" i="18"/>
  <c r="J31" i="18" s="1"/>
  <c r="J32" i="18" s="1"/>
  <c r="J33" i="18" s="1"/>
  <c r="J34" i="18" s="1"/>
  <c r="I30" i="18"/>
  <c r="I31" i="18" s="1"/>
  <c r="H30" i="18"/>
  <c r="H31" i="18" s="1"/>
  <c r="D30" i="18"/>
  <c r="D42" i="18" s="1"/>
  <c r="C30" i="18"/>
  <c r="B30" i="18"/>
  <c r="P29" i="18"/>
  <c r="M29" i="18"/>
  <c r="K29" i="18"/>
  <c r="D29" i="18"/>
  <c r="C29" i="18"/>
  <c r="L29" i="18" s="1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L22" i="18"/>
  <c r="J22" i="18"/>
  <c r="M22" i="18" s="1"/>
  <c r="I22" i="18"/>
  <c r="I23" i="18" s="1"/>
  <c r="H22" i="18"/>
  <c r="H23" i="18" s="1"/>
  <c r="D22" i="18"/>
  <c r="C22" i="18"/>
  <c r="B22" i="18"/>
  <c r="K22" i="18" s="1"/>
  <c r="P21" i="18"/>
  <c r="L21" i="18"/>
  <c r="D21" i="18"/>
  <c r="M21" i="18" s="1"/>
  <c r="C21" i="18"/>
  <c r="B21" i="18"/>
  <c r="K21" i="18" s="1"/>
  <c r="D20" i="18"/>
  <c r="C20" i="18"/>
  <c r="B20" i="18"/>
  <c r="D19" i="18"/>
  <c r="C19" i="18"/>
  <c r="B19" i="18"/>
  <c r="D18" i="18"/>
  <c r="C18" i="18"/>
  <c r="B18" i="18"/>
  <c r="D17" i="18"/>
  <c r="C17" i="18"/>
  <c r="B17" i="18"/>
  <c r="D16" i="18"/>
  <c r="C16" i="18"/>
  <c r="B16" i="18"/>
  <c r="P15" i="18"/>
  <c r="M15" i="18"/>
  <c r="J15" i="18"/>
  <c r="J16" i="18" s="1"/>
  <c r="I15" i="18"/>
  <c r="I16" i="18" s="1"/>
  <c r="I17" i="18" s="1"/>
  <c r="I18" i="18" s="1"/>
  <c r="I19" i="18" s="1"/>
  <c r="I20" i="18" s="1"/>
  <c r="H15" i="18"/>
  <c r="H16" i="18" s="1"/>
  <c r="D15" i="18"/>
  <c r="C15" i="18"/>
  <c r="L15" i="18" s="1"/>
  <c r="B15" i="18"/>
  <c r="K15" i="18" s="1"/>
  <c r="P14" i="18"/>
  <c r="M14" i="18"/>
  <c r="K14" i="18"/>
  <c r="D14" i="18"/>
  <c r="C14" i="18"/>
  <c r="L14" i="18" s="1"/>
  <c r="B14" i="18"/>
  <c r="D13" i="18"/>
  <c r="C13" i="18"/>
  <c r="B13" i="18"/>
  <c r="H12" i="18"/>
  <c r="P12" i="18" s="1"/>
  <c r="D12" i="18"/>
  <c r="C12" i="18"/>
  <c r="B12" i="18"/>
  <c r="K12" i="18" s="1"/>
  <c r="J11" i="18"/>
  <c r="I11" i="18"/>
  <c r="H11" i="18"/>
  <c r="K11" i="18" s="1"/>
  <c r="D11" i="18"/>
  <c r="M11" i="18" s="1"/>
  <c r="C11" i="18"/>
  <c r="C42" i="18" s="1"/>
  <c r="B11" i="18"/>
  <c r="B42" i="18" s="1"/>
  <c r="P10" i="18"/>
  <c r="M10" i="18"/>
  <c r="L10" i="18"/>
  <c r="K10" i="18"/>
  <c r="A10" i="18"/>
  <c r="A11" i="18" s="1"/>
  <c r="C3" i="18"/>
  <c r="D32" i="17"/>
  <c r="E32" i="17" s="1"/>
  <c r="B30" i="17"/>
  <c r="L25" i="17"/>
  <c r="J25" i="17"/>
  <c r="L16" i="17"/>
  <c r="L27" i="17" s="1"/>
  <c r="L14" i="17"/>
  <c r="J14" i="17"/>
  <c r="J13" i="17"/>
  <c r="J12" i="17"/>
  <c r="L9" i="17"/>
  <c r="J9" i="17"/>
  <c r="J16" i="17" s="1"/>
  <c r="J27" i="17" s="1"/>
  <c r="J8" i="17"/>
  <c r="J7" i="17"/>
  <c r="B3" i="17"/>
  <c r="F26" i="16"/>
  <c r="A26" i="16"/>
  <c r="D19" i="16"/>
  <c r="D18" i="16" s="1"/>
  <c r="F18" i="16"/>
  <c r="A18" i="16"/>
  <c r="F16" i="16"/>
  <c r="F24" i="16" s="1"/>
  <c r="D16" i="16"/>
  <c r="A9" i="16"/>
  <c r="A11" i="16" s="1"/>
  <c r="A12" i="16" s="1"/>
  <c r="A13" i="16" s="1"/>
  <c r="A8" i="16"/>
  <c r="F5" i="16"/>
  <c r="D5" i="16"/>
  <c r="F66" i="12"/>
  <c r="E66" i="12"/>
  <c r="F52" i="12"/>
  <c r="E52" i="12"/>
  <c r="G42" i="12"/>
  <c r="F42" i="12"/>
  <c r="E42" i="12"/>
  <c r="D40" i="12"/>
  <c r="C40" i="12"/>
  <c r="B40" i="12"/>
  <c r="M39" i="12"/>
  <c r="J39" i="12"/>
  <c r="J40" i="12" s="1"/>
  <c r="M40" i="12" s="1"/>
  <c r="I39" i="12"/>
  <c r="I40" i="12" s="1"/>
  <c r="L40" i="12" s="1"/>
  <c r="H39" i="12"/>
  <c r="P39" i="12" s="1"/>
  <c r="D39" i="12"/>
  <c r="C39" i="12"/>
  <c r="L39" i="12" s="1"/>
  <c r="B39" i="12"/>
  <c r="P38" i="12"/>
  <c r="M38" i="12"/>
  <c r="L38" i="12"/>
  <c r="K38" i="12"/>
  <c r="D38" i="12"/>
  <c r="C38" i="12"/>
  <c r="B38" i="12"/>
  <c r="D37" i="12"/>
  <c r="C37" i="12"/>
  <c r="B37" i="12"/>
  <c r="D36" i="12"/>
  <c r="C36" i="12"/>
  <c r="B36" i="12"/>
  <c r="D35" i="12"/>
  <c r="C35" i="12"/>
  <c r="B35" i="12"/>
  <c r="D34" i="12"/>
  <c r="C34" i="12"/>
  <c r="B34" i="12"/>
  <c r="H33" i="12"/>
  <c r="H34" i="12" s="1"/>
  <c r="D33" i="12"/>
  <c r="C33" i="12"/>
  <c r="B33" i="12"/>
  <c r="K33" i="12" s="1"/>
  <c r="J32" i="12"/>
  <c r="J33" i="12" s="1"/>
  <c r="I32" i="12"/>
  <c r="L32" i="12" s="1"/>
  <c r="H32" i="12"/>
  <c r="P32" i="12" s="1"/>
  <c r="D32" i="12"/>
  <c r="M32" i="12" s="1"/>
  <c r="C32" i="12"/>
  <c r="B32" i="12"/>
  <c r="P31" i="12"/>
  <c r="M31" i="12"/>
  <c r="L31" i="12"/>
  <c r="D31" i="12"/>
  <c r="C31" i="12"/>
  <c r="B31" i="12"/>
  <c r="K31" i="12" s="1"/>
  <c r="D30" i="12"/>
  <c r="C30" i="12"/>
  <c r="B30" i="12"/>
  <c r="D29" i="12"/>
  <c r="C29" i="12"/>
  <c r="B29" i="12"/>
  <c r="D28" i="12"/>
  <c r="C28" i="12"/>
  <c r="B28" i="12"/>
  <c r="D27" i="12"/>
  <c r="C27" i="12"/>
  <c r="B27" i="12"/>
  <c r="P26" i="12"/>
  <c r="I26" i="12"/>
  <c r="I27" i="12" s="1"/>
  <c r="H26" i="12"/>
  <c r="H27" i="12" s="1"/>
  <c r="D26" i="12"/>
  <c r="C26" i="12"/>
  <c r="L26" i="12" s="1"/>
  <c r="B26" i="12"/>
  <c r="K26" i="12" s="1"/>
  <c r="P25" i="12"/>
  <c r="L25" i="12"/>
  <c r="K25" i="12"/>
  <c r="J25" i="12"/>
  <c r="M25" i="12" s="1"/>
  <c r="I25" i="12"/>
  <c r="H25" i="12"/>
  <c r="D25" i="12"/>
  <c r="C25" i="12"/>
  <c r="B25" i="12"/>
  <c r="P24" i="12"/>
  <c r="M24" i="12"/>
  <c r="D24" i="12"/>
  <c r="C24" i="12"/>
  <c r="L24" i="12" s="1"/>
  <c r="B24" i="12"/>
  <c r="K24" i="12" s="1"/>
  <c r="D23" i="12"/>
  <c r="C23" i="12"/>
  <c r="B23" i="12"/>
  <c r="D22" i="12"/>
  <c r="C22" i="12"/>
  <c r="B22" i="12"/>
  <c r="D21" i="12"/>
  <c r="C21" i="12"/>
  <c r="B21" i="12"/>
  <c r="D20" i="12"/>
  <c r="C20" i="12"/>
  <c r="B20" i="12"/>
  <c r="P19" i="12"/>
  <c r="J19" i="12"/>
  <c r="J20" i="12" s="1"/>
  <c r="I19" i="12"/>
  <c r="I20" i="12" s="1"/>
  <c r="H19" i="12"/>
  <c r="H20" i="12" s="1"/>
  <c r="D19" i="12"/>
  <c r="M19" i="12" s="1"/>
  <c r="C19" i="12"/>
  <c r="L19" i="12" s="1"/>
  <c r="B19" i="12"/>
  <c r="K19" i="12" s="1"/>
  <c r="M18" i="12"/>
  <c r="L18" i="12"/>
  <c r="K18" i="12"/>
  <c r="J18" i="12"/>
  <c r="I18" i="12"/>
  <c r="H18" i="12"/>
  <c r="P18" i="12" s="1"/>
  <c r="D18" i="12"/>
  <c r="C18" i="12"/>
  <c r="B18" i="12"/>
  <c r="P17" i="12"/>
  <c r="D17" i="12"/>
  <c r="M17" i="12" s="1"/>
  <c r="C17" i="12"/>
  <c r="L17" i="12" s="1"/>
  <c r="B17" i="12"/>
  <c r="K17" i="12" s="1"/>
  <c r="D16" i="12"/>
  <c r="C16" i="12"/>
  <c r="B16" i="12"/>
  <c r="D15" i="12"/>
  <c r="C15" i="12"/>
  <c r="B15" i="12"/>
  <c r="D14" i="12"/>
  <c r="C14" i="12"/>
  <c r="B14" i="12"/>
  <c r="D13" i="12"/>
  <c r="C13" i="12"/>
  <c r="B13" i="12"/>
  <c r="J12" i="12"/>
  <c r="J13" i="12" s="1"/>
  <c r="I12" i="12"/>
  <c r="I13" i="12" s="1"/>
  <c r="H12" i="12"/>
  <c r="P12" i="12" s="1"/>
  <c r="D12" i="12"/>
  <c r="C12" i="12"/>
  <c r="B12" i="12"/>
  <c r="P11" i="12"/>
  <c r="M11" i="12"/>
  <c r="L11" i="12"/>
  <c r="J11" i="12"/>
  <c r="I11" i="12"/>
  <c r="H11" i="12"/>
  <c r="D11" i="12"/>
  <c r="D42" i="12" s="1"/>
  <c r="C11" i="12"/>
  <c r="C42" i="12" s="1"/>
  <c r="B11" i="12"/>
  <c r="K11" i="12" s="1"/>
  <c r="P10" i="12"/>
  <c r="M10" i="12"/>
  <c r="L10" i="12"/>
  <c r="K10" i="12"/>
  <c r="C3" i="12"/>
  <c r="A10" i="12" s="1"/>
  <c r="E32" i="11"/>
  <c r="D32" i="11"/>
  <c r="L25" i="11"/>
  <c r="J25" i="11"/>
  <c r="L13" i="11"/>
  <c r="J13" i="11"/>
  <c r="L12" i="11"/>
  <c r="L14" i="11" s="1"/>
  <c r="L16" i="11" s="1"/>
  <c r="L27" i="11" s="1"/>
  <c r="J12" i="11"/>
  <c r="J14" i="11" s="1"/>
  <c r="J16" i="11" s="1"/>
  <c r="J27" i="11" s="1"/>
  <c r="L9" i="11"/>
  <c r="J9" i="11"/>
  <c r="L8" i="11"/>
  <c r="J8" i="11"/>
  <c r="L7" i="11"/>
  <c r="J7" i="11"/>
  <c r="B3" i="11"/>
  <c r="B30" i="11" s="1"/>
  <c r="D26" i="10"/>
  <c r="A26" i="10"/>
  <c r="F19" i="10"/>
  <c r="D19" i="10"/>
  <c r="F18" i="10"/>
  <c r="F26" i="10" s="1"/>
  <c r="D18" i="10"/>
  <c r="A18" i="10"/>
  <c r="F16" i="10"/>
  <c r="F24" i="10" s="1"/>
  <c r="D16" i="10"/>
  <c r="D24" i="10" s="1"/>
  <c r="A9" i="10"/>
  <c r="A11" i="10" s="1"/>
  <c r="A12" i="10" s="1"/>
  <c r="A13" i="10" s="1"/>
  <c r="A8" i="10"/>
  <c r="F5" i="10"/>
  <c r="D5" i="10"/>
  <c r="L19" i="18" l="1"/>
  <c r="F8" i="16"/>
  <c r="F7" i="16"/>
  <c r="F9" i="16" s="1"/>
  <c r="P16" i="18"/>
  <c r="H17" i="18"/>
  <c r="K17" i="18" s="1"/>
  <c r="K23" i="18"/>
  <c r="M33" i="18"/>
  <c r="L12" i="18"/>
  <c r="L17" i="18"/>
  <c r="M12" i="18"/>
  <c r="J17" i="18"/>
  <c r="M16" i="18"/>
  <c r="L20" i="18"/>
  <c r="M31" i="18"/>
  <c r="L18" i="18"/>
  <c r="P23" i="18"/>
  <c r="H24" i="18"/>
  <c r="L31" i="18"/>
  <c r="I32" i="18"/>
  <c r="I33" i="18" s="1"/>
  <c r="I34" i="18" s="1"/>
  <c r="L34" i="18" s="1"/>
  <c r="H32" i="18"/>
  <c r="K31" i="18"/>
  <c r="P31" i="18"/>
  <c r="N11" i="18"/>
  <c r="A12" i="18"/>
  <c r="L13" i="18"/>
  <c r="K16" i="18"/>
  <c r="I24" i="18"/>
  <c r="L23" i="18"/>
  <c r="M32" i="18"/>
  <c r="D26" i="16"/>
  <c r="D24" i="16"/>
  <c r="K24" i="18"/>
  <c r="M13" i="18"/>
  <c r="L16" i="18"/>
  <c r="J39" i="18"/>
  <c r="J40" i="18" s="1"/>
  <c r="M40" i="18" s="1"/>
  <c r="M38" i="18"/>
  <c r="L39" i="18"/>
  <c r="N10" i="18"/>
  <c r="L11" i="18"/>
  <c r="J23" i="18"/>
  <c r="H37" i="18"/>
  <c r="I12" i="18"/>
  <c r="I13" i="18" s="1"/>
  <c r="P22" i="18"/>
  <c r="M36" i="18"/>
  <c r="J12" i="18"/>
  <c r="J13" i="18" s="1"/>
  <c r="P11" i="18"/>
  <c r="L30" i="18"/>
  <c r="H13" i="18"/>
  <c r="M30" i="18"/>
  <c r="P34" i="12"/>
  <c r="H35" i="12"/>
  <c r="K34" i="12"/>
  <c r="M13" i="12"/>
  <c r="J14" i="12"/>
  <c r="M33" i="12"/>
  <c r="J34" i="12"/>
  <c r="J35" i="12" s="1"/>
  <c r="K20" i="12"/>
  <c r="P20" i="12"/>
  <c r="H21" i="12"/>
  <c r="F7" i="10"/>
  <c r="F8" i="10"/>
  <c r="L20" i="12"/>
  <c r="I21" i="12"/>
  <c r="I22" i="12" s="1"/>
  <c r="P27" i="12"/>
  <c r="H28" i="12"/>
  <c r="K27" i="12"/>
  <c r="D8" i="10"/>
  <c r="D7" i="10"/>
  <c r="D9" i="10" s="1"/>
  <c r="N10" i="12"/>
  <c r="A11" i="12"/>
  <c r="L14" i="12"/>
  <c r="L13" i="12"/>
  <c r="I14" i="12"/>
  <c r="I15" i="12" s="1"/>
  <c r="J21" i="12"/>
  <c r="J22" i="12" s="1"/>
  <c r="M20" i="12"/>
  <c r="I28" i="12"/>
  <c r="I29" i="12" s="1"/>
  <c r="L27" i="12"/>
  <c r="M34" i="12"/>
  <c r="K32" i="12"/>
  <c r="P33" i="12"/>
  <c r="K39" i="12"/>
  <c r="L12" i="12"/>
  <c r="H13" i="12"/>
  <c r="K13" i="12" s="1"/>
  <c r="J26" i="12"/>
  <c r="J27" i="12" s="1"/>
  <c r="I33" i="12"/>
  <c r="I34" i="12" s="1"/>
  <c r="H40" i="12"/>
  <c r="P40" i="12" s="1"/>
  <c r="B42" i="12"/>
  <c r="M12" i="12"/>
  <c r="K12" i="12"/>
  <c r="D8" i="16" l="1"/>
  <c r="D7" i="16"/>
  <c r="D9" i="16" s="1"/>
  <c r="M39" i="18"/>
  <c r="P37" i="18"/>
  <c r="H38" i="18"/>
  <c r="P24" i="18"/>
  <c r="H25" i="18"/>
  <c r="J18" i="18"/>
  <c r="M17" i="18"/>
  <c r="K37" i="18"/>
  <c r="N12" i="18"/>
  <c r="A13" i="18"/>
  <c r="K13" i="18"/>
  <c r="P13" i="18"/>
  <c r="J24" i="18"/>
  <c r="M23" i="18"/>
  <c r="L33" i="18"/>
  <c r="P32" i="18"/>
  <c r="H33" i="18"/>
  <c r="K32" i="18"/>
  <c r="H18" i="18"/>
  <c r="P17" i="18"/>
  <c r="I25" i="18"/>
  <c r="L24" i="18"/>
  <c r="L32" i="18"/>
  <c r="P21" i="12"/>
  <c r="H22" i="12"/>
  <c r="M35" i="12"/>
  <c r="J36" i="12"/>
  <c r="F9" i="10"/>
  <c r="L33" i="12"/>
  <c r="I30" i="12"/>
  <c r="L30" i="12" s="1"/>
  <c r="L29" i="12"/>
  <c r="H29" i="12"/>
  <c r="P28" i="12"/>
  <c r="K28" i="12"/>
  <c r="J15" i="12"/>
  <c r="M14" i="12"/>
  <c r="A12" i="12"/>
  <c r="N11" i="12"/>
  <c r="J23" i="12"/>
  <c r="M23" i="12" s="1"/>
  <c r="M22" i="12"/>
  <c r="M21" i="12"/>
  <c r="I35" i="12"/>
  <c r="L34" i="12"/>
  <c r="I23" i="12"/>
  <c r="L23" i="12" s="1"/>
  <c r="L22" i="12"/>
  <c r="L28" i="12"/>
  <c r="K21" i="12"/>
  <c r="H36" i="12"/>
  <c r="P35" i="12"/>
  <c r="K40" i="12"/>
  <c r="I16" i="12"/>
  <c r="L15" i="12"/>
  <c r="M26" i="12"/>
  <c r="J28" i="12"/>
  <c r="M27" i="12"/>
  <c r="H14" i="12"/>
  <c r="P13" i="12"/>
  <c r="L21" i="12"/>
  <c r="K35" i="12"/>
  <c r="P38" i="18" l="1"/>
  <c r="H39" i="18"/>
  <c r="K38" i="18"/>
  <c r="H34" i="18"/>
  <c r="K33" i="18"/>
  <c r="P33" i="18"/>
  <c r="N13" i="18"/>
  <c r="A14" i="18"/>
  <c r="P25" i="18"/>
  <c r="H26" i="18"/>
  <c r="K25" i="18"/>
  <c r="P18" i="18"/>
  <c r="H19" i="18"/>
  <c r="K18" i="18"/>
  <c r="L25" i="18"/>
  <c r="I26" i="18"/>
  <c r="M24" i="18"/>
  <c r="J25" i="18"/>
  <c r="J19" i="18"/>
  <c r="M18" i="18"/>
  <c r="J16" i="12"/>
  <c r="M16" i="12" s="1"/>
  <c r="M15" i="12"/>
  <c r="I36" i="12"/>
  <c r="L35" i="12"/>
  <c r="P36" i="12"/>
  <c r="H37" i="12"/>
  <c r="K36" i="12"/>
  <c r="K22" i="12"/>
  <c r="H23" i="12"/>
  <c r="P22" i="12"/>
  <c r="L16" i="12"/>
  <c r="J37" i="12"/>
  <c r="M37" i="12" s="1"/>
  <c r="M36" i="12"/>
  <c r="P14" i="12"/>
  <c r="K14" i="12"/>
  <c r="H15" i="12"/>
  <c r="J29" i="12"/>
  <c r="M28" i="12"/>
  <c r="K29" i="12"/>
  <c r="P29" i="12"/>
  <c r="H30" i="12"/>
  <c r="N12" i="12"/>
  <c r="A13" i="12"/>
  <c r="H20" i="18" l="1"/>
  <c r="P19" i="18"/>
  <c r="K19" i="18"/>
  <c r="P34" i="18"/>
  <c r="K34" i="18"/>
  <c r="H27" i="18"/>
  <c r="P26" i="18"/>
  <c r="K26" i="18"/>
  <c r="P39" i="18"/>
  <c r="H40" i="18"/>
  <c r="K39" i="18"/>
  <c r="I27" i="18"/>
  <c r="L26" i="18"/>
  <c r="A15" i="18"/>
  <c r="N14" i="18"/>
  <c r="J20" i="18"/>
  <c r="M20" i="18" s="1"/>
  <c r="M19" i="18"/>
  <c r="J26" i="18"/>
  <c r="M25" i="18"/>
  <c r="M42" i="12"/>
  <c r="L36" i="12"/>
  <c r="I37" i="12"/>
  <c r="M29" i="12"/>
  <c r="J30" i="12"/>
  <c r="M30" i="12" s="1"/>
  <c r="J42" i="12"/>
  <c r="A14" i="12"/>
  <c r="N13" i="12"/>
  <c r="H16" i="12"/>
  <c r="P15" i="12"/>
  <c r="K15" i="12"/>
  <c r="P23" i="12"/>
  <c r="K23" i="12"/>
  <c r="P30" i="12"/>
  <c r="K30" i="12"/>
  <c r="P37" i="12"/>
  <c r="K37" i="12"/>
  <c r="N15" i="18" l="1"/>
  <c r="A16" i="18"/>
  <c r="I28" i="18"/>
  <c r="L28" i="18" s="1"/>
  <c r="L42" i="18" s="1"/>
  <c r="L27" i="18"/>
  <c r="I42" i="18"/>
  <c r="M26" i="18"/>
  <c r="J27" i="18"/>
  <c r="P40" i="18"/>
  <c r="K40" i="18"/>
  <c r="P27" i="18"/>
  <c r="H28" i="18"/>
  <c r="K27" i="18"/>
  <c r="P20" i="18"/>
  <c r="K20" i="18"/>
  <c r="P16" i="12"/>
  <c r="K16" i="12"/>
  <c r="K42" i="12" s="1"/>
  <c r="A15" i="12"/>
  <c r="N14" i="12"/>
  <c r="H42" i="12"/>
  <c r="G68" i="12"/>
  <c r="I68" i="12" s="1"/>
  <c r="G54" i="12"/>
  <c r="I54" i="12" s="1"/>
  <c r="L37" i="12"/>
  <c r="L42" i="12" s="1"/>
  <c r="I42" i="12"/>
  <c r="J28" i="18" l="1"/>
  <c r="M27" i="18"/>
  <c r="G53" i="18"/>
  <c r="I53" i="18" s="1"/>
  <c r="G67" i="18"/>
  <c r="I67" i="18" s="1"/>
  <c r="K42" i="18"/>
  <c r="A17" i="18"/>
  <c r="N16" i="18"/>
  <c r="P28" i="18"/>
  <c r="K28" i="18"/>
  <c r="H42" i="18"/>
  <c r="G66" i="12"/>
  <c r="I66" i="12" s="1"/>
  <c r="I70" i="12" s="1"/>
  <c r="G52" i="12"/>
  <c r="I52" i="12" s="1"/>
  <c r="A16" i="12"/>
  <c r="N15" i="12"/>
  <c r="G67" i="12"/>
  <c r="I67" i="12" s="1"/>
  <c r="G53" i="12"/>
  <c r="I53" i="12" s="1"/>
  <c r="G52" i="18" l="1"/>
  <c r="I52" i="18" s="1"/>
  <c r="G66" i="18"/>
  <c r="I66" i="18" s="1"/>
  <c r="N17" i="18"/>
  <c r="A18" i="18"/>
  <c r="M28" i="18"/>
  <c r="M42" i="18" s="1"/>
  <c r="J42" i="18"/>
  <c r="N16" i="12"/>
  <c r="A17" i="12"/>
  <c r="I56" i="12"/>
  <c r="G54" i="18" l="1"/>
  <c r="I54" i="18" s="1"/>
  <c r="I56" i="18" s="1"/>
  <c r="G68" i="18"/>
  <c r="I68" i="18" s="1"/>
  <c r="A19" i="18"/>
  <c r="N18" i="18"/>
  <c r="I70" i="18"/>
  <c r="N17" i="12"/>
  <c r="A18" i="12"/>
  <c r="N19" i="18" l="1"/>
  <c r="A20" i="18"/>
  <c r="A19" i="12"/>
  <c r="N18" i="12"/>
  <c r="A21" i="18" l="1"/>
  <c r="N20" i="18"/>
  <c r="N19" i="12"/>
  <c r="A20" i="12"/>
  <c r="N21" i="18" l="1"/>
  <c r="A22" i="18"/>
  <c r="A21" i="12"/>
  <c r="N20" i="12"/>
  <c r="A23" i="18" l="1"/>
  <c r="N22" i="18"/>
  <c r="N21" i="12"/>
  <c r="A22" i="12"/>
  <c r="A24" i="18" l="1"/>
  <c r="N23" i="18"/>
  <c r="A23" i="12"/>
  <c r="N22" i="12"/>
  <c r="A25" i="18" l="1"/>
  <c r="N24" i="18"/>
  <c r="N23" i="12"/>
  <c r="A24" i="12"/>
  <c r="N25" i="18" l="1"/>
  <c r="A26" i="18"/>
  <c r="N24" i="12"/>
  <c r="A25" i="12"/>
  <c r="A27" i="18" l="1"/>
  <c r="N26" i="18"/>
  <c r="A26" i="12"/>
  <c r="N25" i="12"/>
  <c r="A28" i="18" l="1"/>
  <c r="N27" i="18"/>
  <c r="N26" i="12"/>
  <c r="A27" i="12"/>
  <c r="A29" i="18" l="1"/>
  <c r="N28" i="18"/>
  <c r="A28" i="12"/>
  <c r="N27" i="12"/>
  <c r="A30" i="18" l="1"/>
  <c r="N29" i="18"/>
  <c r="N28" i="12"/>
  <c r="A29" i="12"/>
  <c r="A31" i="18" l="1"/>
  <c r="N30" i="18"/>
  <c r="A30" i="12"/>
  <c r="N29" i="12"/>
  <c r="A32" i="18" l="1"/>
  <c r="N31" i="18"/>
  <c r="N30" i="12"/>
  <c r="A31" i="12"/>
  <c r="A33" i="18" l="1"/>
  <c r="N32" i="18"/>
  <c r="A32" i="12"/>
  <c r="N31" i="12"/>
  <c r="A34" i="18" l="1"/>
  <c r="N33" i="18"/>
  <c r="A33" i="12"/>
  <c r="N32" i="12"/>
  <c r="A35" i="18" l="1"/>
  <c r="N34" i="18"/>
  <c r="N33" i="12"/>
  <c r="A34" i="12"/>
  <c r="N35" i="18" l="1"/>
  <c r="A36" i="18"/>
  <c r="A35" i="12"/>
  <c r="N34" i="12"/>
  <c r="A37" i="18" l="1"/>
  <c r="N36" i="18"/>
  <c r="A36" i="12"/>
  <c r="N35" i="12"/>
  <c r="N37" i="18" l="1"/>
  <c r="A38" i="18"/>
  <c r="A37" i="12"/>
  <c r="N36" i="12"/>
  <c r="A39" i="18" l="1"/>
  <c r="N38" i="18"/>
  <c r="N37" i="12"/>
  <c r="A38" i="12"/>
  <c r="N39" i="18" l="1"/>
  <c r="A40" i="18"/>
  <c r="N40" i="18" s="1"/>
  <c r="A39" i="12"/>
  <c r="N38" i="12"/>
  <c r="N39" i="12" l="1"/>
  <c r="A40" i="12"/>
  <c r="N40" i="12" s="1"/>
  <c r="F66" i="9" l="1"/>
  <c r="E66" i="9"/>
  <c r="F52" i="9"/>
  <c r="E52" i="9"/>
  <c r="G42" i="9"/>
  <c r="F42" i="9"/>
  <c r="E42" i="9"/>
  <c r="D39" i="9"/>
  <c r="C39" i="9"/>
  <c r="B39" i="9"/>
  <c r="D38" i="9"/>
  <c r="C38" i="9"/>
  <c r="B38" i="9"/>
  <c r="D37" i="9"/>
  <c r="C37" i="9"/>
  <c r="B37" i="9"/>
  <c r="D36" i="9"/>
  <c r="C36" i="9"/>
  <c r="B36" i="9"/>
  <c r="D35" i="9"/>
  <c r="C35" i="9"/>
  <c r="B35" i="9"/>
  <c r="M34" i="9"/>
  <c r="L34" i="9"/>
  <c r="J34" i="9"/>
  <c r="J35" i="9" s="1"/>
  <c r="I34" i="9"/>
  <c r="I35" i="9" s="1"/>
  <c r="H34" i="9"/>
  <c r="P34" i="9" s="1"/>
  <c r="D34" i="9"/>
  <c r="C34" i="9"/>
  <c r="B34" i="9"/>
  <c r="K34" i="9" s="1"/>
  <c r="P33" i="9"/>
  <c r="M33" i="9"/>
  <c r="L33" i="9"/>
  <c r="D33" i="9"/>
  <c r="C33" i="9"/>
  <c r="B33" i="9"/>
  <c r="K33" i="9" s="1"/>
  <c r="D32" i="9"/>
  <c r="C32" i="9"/>
  <c r="B32" i="9"/>
  <c r="D31" i="9"/>
  <c r="C31" i="9"/>
  <c r="B31" i="9"/>
  <c r="D30" i="9"/>
  <c r="C30" i="9"/>
  <c r="B30" i="9"/>
  <c r="D29" i="9"/>
  <c r="C29" i="9"/>
  <c r="B29" i="9"/>
  <c r="D28" i="9"/>
  <c r="C28" i="9"/>
  <c r="L28" i="9" s="1"/>
  <c r="B28" i="9"/>
  <c r="M27" i="9"/>
  <c r="J27" i="9"/>
  <c r="J28" i="9" s="1"/>
  <c r="I27" i="9"/>
  <c r="I28" i="9" s="1"/>
  <c r="I29" i="9" s="1"/>
  <c r="I30" i="9" s="1"/>
  <c r="I31" i="9" s="1"/>
  <c r="I32" i="9" s="1"/>
  <c r="H27" i="9"/>
  <c r="P27" i="9" s="1"/>
  <c r="D27" i="9"/>
  <c r="C27" i="9"/>
  <c r="L27" i="9" s="1"/>
  <c r="B27" i="9"/>
  <c r="B42" i="9" s="1"/>
  <c r="P26" i="9"/>
  <c r="M26" i="9"/>
  <c r="D26" i="9"/>
  <c r="C26" i="9"/>
  <c r="L26" i="9" s="1"/>
  <c r="B26" i="9"/>
  <c r="K26" i="9" s="1"/>
  <c r="D25" i="9"/>
  <c r="C25" i="9"/>
  <c r="B25" i="9"/>
  <c r="D24" i="9"/>
  <c r="C24" i="9"/>
  <c r="B24" i="9"/>
  <c r="D23" i="9"/>
  <c r="M23" i="9" s="1"/>
  <c r="C23" i="9"/>
  <c r="B23" i="9"/>
  <c r="D22" i="9"/>
  <c r="C22" i="9"/>
  <c r="B22" i="9"/>
  <c r="D21" i="9"/>
  <c r="M21" i="9" s="1"/>
  <c r="C21" i="9"/>
  <c r="B21" i="9"/>
  <c r="P20" i="9"/>
  <c r="K20" i="9"/>
  <c r="J20" i="9"/>
  <c r="J21" i="9" s="1"/>
  <c r="J22" i="9" s="1"/>
  <c r="J23" i="9" s="1"/>
  <c r="J24" i="9" s="1"/>
  <c r="J25" i="9" s="1"/>
  <c r="I20" i="9"/>
  <c r="I21" i="9" s="1"/>
  <c r="I22" i="9" s="1"/>
  <c r="I23" i="9" s="1"/>
  <c r="I24" i="9" s="1"/>
  <c r="I25" i="9" s="1"/>
  <c r="H20" i="9"/>
  <c r="H21" i="9" s="1"/>
  <c r="D20" i="9"/>
  <c r="M20" i="9" s="1"/>
  <c r="C20" i="9"/>
  <c r="L20" i="9" s="1"/>
  <c r="B20" i="9"/>
  <c r="P19" i="9"/>
  <c r="K19" i="9"/>
  <c r="D19" i="9"/>
  <c r="M19" i="9" s="1"/>
  <c r="C19" i="9"/>
  <c r="L19" i="9" s="1"/>
  <c r="B19" i="9"/>
  <c r="D18" i="9"/>
  <c r="C18" i="9"/>
  <c r="B18" i="9"/>
  <c r="D17" i="9"/>
  <c r="C17" i="9"/>
  <c r="B17" i="9"/>
  <c r="D16" i="9"/>
  <c r="C16" i="9"/>
  <c r="B16" i="9"/>
  <c r="D15" i="9"/>
  <c r="C15" i="9"/>
  <c r="B15" i="9"/>
  <c r="D14" i="9"/>
  <c r="C14" i="9"/>
  <c r="B14" i="9"/>
  <c r="P13" i="9"/>
  <c r="L13" i="9"/>
  <c r="K13" i="9"/>
  <c r="J13" i="9"/>
  <c r="J14" i="9" s="1"/>
  <c r="I13" i="9"/>
  <c r="I14" i="9" s="1"/>
  <c r="H13" i="9"/>
  <c r="H14" i="9" s="1"/>
  <c r="D13" i="9"/>
  <c r="M13" i="9" s="1"/>
  <c r="C13" i="9"/>
  <c r="B13" i="9"/>
  <c r="P12" i="9"/>
  <c r="M12" i="9"/>
  <c r="L12" i="9"/>
  <c r="K12" i="9"/>
  <c r="D12" i="9"/>
  <c r="C12" i="9"/>
  <c r="B12" i="9"/>
  <c r="M11" i="9"/>
  <c r="L11" i="9"/>
  <c r="J11" i="9"/>
  <c r="I11" i="9"/>
  <c r="H11" i="9"/>
  <c r="P11" i="9" s="1"/>
  <c r="D11" i="9"/>
  <c r="D42" i="9" s="1"/>
  <c r="C11" i="9"/>
  <c r="C42" i="9" s="1"/>
  <c r="B11" i="9"/>
  <c r="K11" i="9" s="1"/>
  <c r="P10" i="9"/>
  <c r="M10" i="9"/>
  <c r="L10" i="9"/>
  <c r="K10" i="9"/>
  <c r="C3" i="9"/>
  <c r="A10" i="9" s="1"/>
  <c r="E32" i="8"/>
  <c r="D32" i="8"/>
  <c r="L25" i="8"/>
  <c r="J25" i="8"/>
  <c r="L13" i="8"/>
  <c r="J13" i="8"/>
  <c r="L12" i="8"/>
  <c r="L14" i="8" s="1"/>
  <c r="J12" i="8"/>
  <c r="J14" i="8" s="1"/>
  <c r="L8" i="8"/>
  <c r="J8" i="8"/>
  <c r="L7" i="8"/>
  <c r="L9" i="8" s="1"/>
  <c r="L16" i="8" s="1"/>
  <c r="L27" i="8" s="1"/>
  <c r="J7" i="8"/>
  <c r="J9" i="8" s="1"/>
  <c r="B3" i="8"/>
  <c r="B30" i="8" s="1"/>
  <c r="A26" i="7"/>
  <c r="F19" i="7"/>
  <c r="F18" i="7" s="1"/>
  <c r="F26" i="7" s="1"/>
  <c r="D19" i="7"/>
  <c r="D18" i="7" s="1"/>
  <c r="D26" i="7" s="1"/>
  <c r="A18" i="7"/>
  <c r="F16" i="7"/>
  <c r="D16" i="7"/>
  <c r="D24" i="7" s="1"/>
  <c r="A11" i="7"/>
  <c r="A12" i="7" s="1"/>
  <c r="A13" i="7" s="1"/>
  <c r="A9" i="7"/>
  <c r="A8" i="7"/>
  <c r="F5" i="7"/>
  <c r="D5" i="7"/>
  <c r="D8" i="7" l="1"/>
  <c r="D7" i="7"/>
  <c r="D9" i="7" s="1"/>
  <c r="M22" i="9"/>
  <c r="L31" i="9"/>
  <c r="M35" i="9"/>
  <c r="J36" i="9"/>
  <c r="K14" i="9"/>
  <c r="H15" i="9"/>
  <c r="P14" i="9"/>
  <c r="M14" i="9"/>
  <c r="M25" i="9"/>
  <c r="I36" i="9"/>
  <c r="L35" i="9"/>
  <c r="F24" i="7"/>
  <c r="L25" i="9"/>
  <c r="A11" i="9"/>
  <c r="N10" i="9"/>
  <c r="I15" i="9"/>
  <c r="L14" i="9"/>
  <c r="M17" i="9"/>
  <c r="L23" i="9"/>
  <c r="L29" i="9"/>
  <c r="J15" i="9"/>
  <c r="J16" i="9" s="1"/>
  <c r="J17" i="9" s="1"/>
  <c r="J18" i="9" s="1"/>
  <c r="L32" i="9"/>
  <c r="M15" i="9"/>
  <c r="L21" i="9"/>
  <c r="J29" i="9"/>
  <c r="M28" i="9"/>
  <c r="L22" i="9"/>
  <c r="M18" i="9"/>
  <c r="L24" i="9"/>
  <c r="L30" i="9"/>
  <c r="J16" i="8"/>
  <c r="J27" i="8" s="1"/>
  <c r="P21" i="9"/>
  <c r="H22" i="9"/>
  <c r="K21" i="9"/>
  <c r="M24" i="9"/>
  <c r="K27" i="9"/>
  <c r="H28" i="9"/>
  <c r="H35" i="9"/>
  <c r="H29" i="9" l="1"/>
  <c r="P28" i="9"/>
  <c r="I37" i="9"/>
  <c r="L36" i="9"/>
  <c r="H16" i="9"/>
  <c r="P15" i="9"/>
  <c r="K15" i="9"/>
  <c r="L15" i="9"/>
  <c r="I16" i="9"/>
  <c r="M29" i="9"/>
  <c r="J30" i="9"/>
  <c r="M16" i="9"/>
  <c r="J37" i="9"/>
  <c r="M36" i="9"/>
  <c r="K28" i="9"/>
  <c r="A12" i="9"/>
  <c r="N11" i="9"/>
  <c r="F8" i="7"/>
  <c r="F7" i="7"/>
  <c r="H36" i="9"/>
  <c r="P35" i="9"/>
  <c r="K22" i="9"/>
  <c r="P22" i="9"/>
  <c r="H23" i="9"/>
  <c r="K35" i="9"/>
  <c r="I17" i="9" l="1"/>
  <c r="L16" i="9"/>
  <c r="P29" i="9"/>
  <c r="H30" i="9"/>
  <c r="K29" i="9"/>
  <c r="P23" i="9"/>
  <c r="H24" i="9"/>
  <c r="K23" i="9"/>
  <c r="N12" i="9"/>
  <c r="A13" i="9"/>
  <c r="M37" i="9"/>
  <c r="J38" i="9"/>
  <c r="H17" i="9"/>
  <c r="K16" i="9"/>
  <c r="P16" i="9"/>
  <c r="P36" i="9"/>
  <c r="H37" i="9"/>
  <c r="K36" i="9"/>
  <c r="F9" i="7"/>
  <c r="J31" i="9"/>
  <c r="M30" i="9"/>
  <c r="I38" i="9"/>
  <c r="L37" i="9"/>
  <c r="L17" i="9" l="1"/>
  <c r="I18" i="9"/>
  <c r="L18" i="9" s="1"/>
  <c r="J32" i="9"/>
  <c r="M32" i="9" s="1"/>
  <c r="M31" i="9"/>
  <c r="H18" i="9"/>
  <c r="K17" i="9"/>
  <c r="P17" i="9"/>
  <c r="K24" i="9"/>
  <c r="P24" i="9"/>
  <c r="H25" i="9"/>
  <c r="J39" i="9"/>
  <c r="M39" i="9" s="1"/>
  <c r="M42" i="9" s="1"/>
  <c r="M38" i="9"/>
  <c r="H31" i="9"/>
  <c r="P30" i="9"/>
  <c r="K30" i="9"/>
  <c r="P37" i="9"/>
  <c r="H38" i="9"/>
  <c r="K37" i="9"/>
  <c r="I39" i="9"/>
  <c r="L39" i="9" s="1"/>
  <c r="L38" i="9"/>
  <c r="A14" i="9"/>
  <c r="N13" i="9"/>
  <c r="G68" i="9" l="1"/>
  <c r="I68" i="9" s="1"/>
  <c r="G54" i="9"/>
  <c r="I54" i="9" s="1"/>
  <c r="K18" i="9"/>
  <c r="P18" i="9"/>
  <c r="L42" i="9"/>
  <c r="P25" i="9"/>
  <c r="K25" i="9"/>
  <c r="P38" i="9"/>
  <c r="H39" i="9"/>
  <c r="K38" i="9"/>
  <c r="J42" i="9"/>
  <c r="N14" i="9"/>
  <c r="A15" i="9"/>
  <c r="P31" i="9"/>
  <c r="H32" i="9"/>
  <c r="K31" i="9"/>
  <c r="I42" i="9"/>
  <c r="G53" i="9" l="1"/>
  <c r="I53" i="9" s="1"/>
  <c r="G67" i="9"/>
  <c r="I67" i="9" s="1"/>
  <c r="P32" i="9"/>
  <c r="K32" i="9"/>
  <c r="H42" i="9"/>
  <c r="A16" i="9"/>
  <c r="N15" i="9"/>
  <c r="P39" i="9"/>
  <c r="K39" i="9"/>
  <c r="K42" i="9" s="1"/>
  <c r="G66" i="9" l="1"/>
  <c r="I66" i="9" s="1"/>
  <c r="I70" i="9" s="1"/>
  <c r="G52" i="9"/>
  <c r="I52" i="9" s="1"/>
  <c r="I56" i="9" s="1"/>
  <c r="A17" i="9"/>
  <c r="N16" i="9"/>
  <c r="A18" i="9" l="1"/>
  <c r="N17" i="9"/>
  <c r="A19" i="9" l="1"/>
  <c r="N18" i="9"/>
  <c r="N19" i="9" l="1"/>
  <c r="A20" i="9"/>
  <c r="A21" i="9" l="1"/>
  <c r="N20" i="9"/>
  <c r="A22" i="9" l="1"/>
  <c r="N21" i="9"/>
  <c r="A23" i="9" l="1"/>
  <c r="N22" i="9"/>
  <c r="N23" i="9" l="1"/>
  <c r="A24" i="9"/>
  <c r="A25" i="9" l="1"/>
  <c r="N24" i="9"/>
  <c r="A26" i="9" l="1"/>
  <c r="N25" i="9"/>
  <c r="N26" i="9" l="1"/>
  <c r="A27" i="9"/>
  <c r="A28" i="9" l="1"/>
  <c r="N27" i="9"/>
  <c r="N28" i="9" l="1"/>
  <c r="A29" i="9"/>
  <c r="A30" i="9" l="1"/>
  <c r="N29" i="9"/>
  <c r="N30" i="9" l="1"/>
  <c r="A31" i="9"/>
  <c r="A32" i="9" l="1"/>
  <c r="N31" i="9"/>
  <c r="N32" i="9" l="1"/>
  <c r="A33" i="9"/>
  <c r="A34" i="9" l="1"/>
  <c r="N33" i="9"/>
  <c r="N34" i="9" l="1"/>
  <c r="A35" i="9"/>
  <c r="A36" i="9" l="1"/>
  <c r="N35" i="9"/>
  <c r="N36" i="9" l="1"/>
  <c r="A37" i="9"/>
  <c r="A38" i="9" l="1"/>
  <c r="N37" i="9"/>
  <c r="N38" i="9" l="1"/>
  <c r="A39" i="9"/>
  <c r="N39" i="9" s="1"/>
  <c r="F66" i="6" l="1"/>
  <c r="E66" i="6"/>
  <c r="F52" i="6"/>
  <c r="E52" i="6"/>
  <c r="G42" i="6"/>
  <c r="F42" i="6"/>
  <c r="E42" i="6"/>
  <c r="D40" i="6"/>
  <c r="C40" i="6"/>
  <c r="B40" i="6"/>
  <c r="D39" i="6"/>
  <c r="C39" i="6"/>
  <c r="B39" i="6"/>
  <c r="M38" i="6"/>
  <c r="J38" i="6"/>
  <c r="J39" i="6" s="1"/>
  <c r="J40" i="6" s="1"/>
  <c r="M40" i="6" s="1"/>
  <c r="D38" i="6"/>
  <c r="C38" i="6"/>
  <c r="B38" i="6"/>
  <c r="J37" i="6"/>
  <c r="I37" i="6"/>
  <c r="I38" i="6" s="1"/>
  <c r="H37" i="6"/>
  <c r="P37" i="6" s="1"/>
  <c r="D37" i="6"/>
  <c r="M37" i="6" s="1"/>
  <c r="C37" i="6"/>
  <c r="L37" i="6" s="1"/>
  <c r="B37" i="6"/>
  <c r="P36" i="6"/>
  <c r="M36" i="6"/>
  <c r="L36" i="6"/>
  <c r="K36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H31" i="6"/>
  <c r="H32" i="6" s="1"/>
  <c r="D31" i="6"/>
  <c r="C31" i="6"/>
  <c r="B31" i="6"/>
  <c r="K31" i="6" s="1"/>
  <c r="P30" i="6"/>
  <c r="J30" i="6"/>
  <c r="J31" i="6" s="1"/>
  <c r="I30" i="6"/>
  <c r="L30" i="6" s="1"/>
  <c r="H30" i="6"/>
  <c r="D30" i="6"/>
  <c r="M30" i="6" s="1"/>
  <c r="C30" i="6"/>
  <c r="B30" i="6"/>
  <c r="K30" i="6" s="1"/>
  <c r="P29" i="6"/>
  <c r="M29" i="6"/>
  <c r="L29" i="6"/>
  <c r="D29" i="6"/>
  <c r="C29" i="6"/>
  <c r="B29" i="6"/>
  <c r="K29" i="6" s="1"/>
  <c r="D28" i="6"/>
  <c r="C28" i="6"/>
  <c r="B28" i="6"/>
  <c r="D27" i="6"/>
  <c r="C27" i="6"/>
  <c r="B27" i="6"/>
  <c r="D26" i="6"/>
  <c r="C26" i="6"/>
  <c r="B26" i="6"/>
  <c r="D25" i="6"/>
  <c r="C25" i="6"/>
  <c r="B25" i="6"/>
  <c r="I24" i="6"/>
  <c r="I25" i="6" s="1"/>
  <c r="I26" i="6" s="1"/>
  <c r="I27" i="6" s="1"/>
  <c r="I28" i="6" s="1"/>
  <c r="D24" i="6"/>
  <c r="C24" i="6"/>
  <c r="L24" i="6" s="1"/>
  <c r="B24" i="6"/>
  <c r="K23" i="6"/>
  <c r="J23" i="6"/>
  <c r="M23" i="6" s="1"/>
  <c r="I23" i="6"/>
  <c r="L23" i="6" s="1"/>
  <c r="H23" i="6"/>
  <c r="P23" i="6" s="1"/>
  <c r="D23" i="6"/>
  <c r="C23" i="6"/>
  <c r="B23" i="6"/>
  <c r="P22" i="6"/>
  <c r="M22" i="6"/>
  <c r="D22" i="6"/>
  <c r="C22" i="6"/>
  <c r="L22" i="6" s="1"/>
  <c r="B22" i="6"/>
  <c r="K22" i="6" s="1"/>
  <c r="D21" i="6"/>
  <c r="C21" i="6"/>
  <c r="B21" i="6"/>
  <c r="D20" i="6"/>
  <c r="C20" i="6"/>
  <c r="B20" i="6"/>
  <c r="D19" i="6"/>
  <c r="C19" i="6"/>
  <c r="B19" i="6"/>
  <c r="D18" i="6"/>
  <c r="C18" i="6"/>
  <c r="B18" i="6"/>
  <c r="P17" i="6"/>
  <c r="J17" i="6"/>
  <c r="J18" i="6" s="1"/>
  <c r="H17" i="6"/>
  <c r="H18" i="6" s="1"/>
  <c r="D17" i="6"/>
  <c r="M17" i="6" s="1"/>
  <c r="C17" i="6"/>
  <c r="L17" i="6" s="1"/>
  <c r="B17" i="6"/>
  <c r="K17" i="6" s="1"/>
  <c r="L16" i="6"/>
  <c r="K16" i="6"/>
  <c r="J16" i="6"/>
  <c r="M16" i="6" s="1"/>
  <c r="I16" i="6"/>
  <c r="I17" i="6" s="1"/>
  <c r="I18" i="6" s="1"/>
  <c r="H16" i="6"/>
  <c r="P16" i="6" s="1"/>
  <c r="D16" i="6"/>
  <c r="C16" i="6"/>
  <c r="B16" i="6"/>
  <c r="P15" i="6"/>
  <c r="D15" i="6"/>
  <c r="M15" i="6" s="1"/>
  <c r="C15" i="6"/>
  <c r="L15" i="6" s="1"/>
  <c r="B15" i="6"/>
  <c r="K15" i="6" s="1"/>
  <c r="D14" i="6"/>
  <c r="C14" i="6"/>
  <c r="B14" i="6"/>
  <c r="D13" i="6"/>
  <c r="C13" i="6"/>
  <c r="B13" i="6"/>
  <c r="I12" i="6"/>
  <c r="H12" i="6"/>
  <c r="P12" i="6" s="1"/>
  <c r="D12" i="6"/>
  <c r="C12" i="6"/>
  <c r="L12" i="6" s="1"/>
  <c r="B12" i="6"/>
  <c r="P11" i="6"/>
  <c r="M11" i="6"/>
  <c r="L11" i="6"/>
  <c r="J11" i="6"/>
  <c r="I11" i="6"/>
  <c r="H11" i="6"/>
  <c r="D11" i="6"/>
  <c r="D42" i="6" s="1"/>
  <c r="C11" i="6"/>
  <c r="C42" i="6" s="1"/>
  <c r="B11" i="6"/>
  <c r="K11" i="6" s="1"/>
  <c r="P10" i="6"/>
  <c r="M10" i="6"/>
  <c r="L10" i="6"/>
  <c r="K10" i="6"/>
  <c r="C3" i="6"/>
  <c r="A10" i="6" s="1"/>
  <c r="E30" i="5"/>
  <c r="D30" i="5"/>
  <c r="L23" i="5"/>
  <c r="J23" i="5"/>
  <c r="L14" i="5"/>
  <c r="J14" i="5"/>
  <c r="J13" i="5"/>
  <c r="J12" i="5"/>
  <c r="L8" i="5"/>
  <c r="L9" i="5" s="1"/>
  <c r="L16" i="5" s="1"/>
  <c r="L25" i="5" s="1"/>
  <c r="J8" i="5"/>
  <c r="J7" i="5"/>
  <c r="J9" i="5" s="1"/>
  <c r="J16" i="5" s="1"/>
  <c r="J25" i="5" s="1"/>
  <c r="B3" i="5"/>
  <c r="B28" i="5" s="1"/>
  <c r="A26" i="4"/>
  <c r="D19" i="4"/>
  <c r="D18" i="4" s="1"/>
  <c r="F18" i="4"/>
  <c r="F26" i="4" s="1"/>
  <c r="A18" i="4"/>
  <c r="F16" i="4"/>
  <c r="F24" i="4" s="1"/>
  <c r="D16" i="4"/>
  <c r="A11" i="4"/>
  <c r="A12" i="4" s="1"/>
  <c r="A13" i="4" s="1"/>
  <c r="A9" i="4"/>
  <c r="A8" i="4"/>
  <c r="F5" i="4"/>
  <c r="D5" i="4"/>
  <c r="L27" i="6" l="1"/>
  <c r="K18" i="6"/>
  <c r="P18" i="6"/>
  <c r="H19" i="6"/>
  <c r="L25" i="6"/>
  <c r="I19" i="6"/>
  <c r="I20" i="6" s="1"/>
  <c r="L18" i="6"/>
  <c r="J19" i="6"/>
  <c r="J20" i="6" s="1"/>
  <c r="M18" i="6"/>
  <c r="L28" i="6"/>
  <c r="M31" i="6"/>
  <c r="J32" i="6"/>
  <c r="J33" i="6" s="1"/>
  <c r="F7" i="4"/>
  <c r="F8" i="4"/>
  <c r="L26" i="6"/>
  <c r="H33" i="6"/>
  <c r="P32" i="6"/>
  <c r="L38" i="6"/>
  <c r="I39" i="6"/>
  <c r="I40" i="6" s="1"/>
  <c r="L40" i="6" s="1"/>
  <c r="L39" i="6"/>
  <c r="D24" i="4"/>
  <c r="D26" i="4"/>
  <c r="K13" i="6"/>
  <c r="K32" i="6"/>
  <c r="M39" i="6"/>
  <c r="K33" i="6"/>
  <c r="N10" i="6"/>
  <c r="A11" i="6"/>
  <c r="M24" i="6"/>
  <c r="J12" i="6"/>
  <c r="J13" i="6" s="1"/>
  <c r="H24" i="6"/>
  <c r="P31" i="6"/>
  <c r="K12" i="6"/>
  <c r="K37" i="6"/>
  <c r="H13" i="6"/>
  <c r="J24" i="6"/>
  <c r="J25" i="6" s="1"/>
  <c r="I31" i="6"/>
  <c r="I32" i="6" s="1"/>
  <c r="H38" i="6"/>
  <c r="B42" i="6"/>
  <c r="I13" i="6"/>
  <c r="M19" i="6" l="1"/>
  <c r="M12" i="6"/>
  <c r="L20" i="6"/>
  <c r="I21" i="6"/>
  <c r="L21" i="6" s="1"/>
  <c r="H20" i="6"/>
  <c r="P19" i="6"/>
  <c r="A12" i="6"/>
  <c r="N11" i="6"/>
  <c r="F9" i="4"/>
  <c r="J34" i="6"/>
  <c r="M33" i="6"/>
  <c r="H39" i="6"/>
  <c r="P38" i="6"/>
  <c r="D8" i="4"/>
  <c r="D7" i="4"/>
  <c r="L31" i="6"/>
  <c r="L13" i="6"/>
  <c r="I14" i="6"/>
  <c r="L14" i="6" s="1"/>
  <c r="P24" i="6"/>
  <c r="H25" i="6"/>
  <c r="K38" i="6"/>
  <c r="M32" i="6"/>
  <c r="J21" i="6"/>
  <c r="M21" i="6" s="1"/>
  <c r="M20" i="6"/>
  <c r="M13" i="6"/>
  <c r="J14" i="6"/>
  <c r="L32" i="6"/>
  <c r="I33" i="6"/>
  <c r="J26" i="6"/>
  <c r="M25" i="6"/>
  <c r="L19" i="6"/>
  <c r="H34" i="6"/>
  <c r="P33" i="6"/>
  <c r="P13" i="6"/>
  <c r="H14" i="6"/>
  <c r="K24" i="6"/>
  <c r="K19" i="6"/>
  <c r="P39" i="6" l="1"/>
  <c r="K39" i="6"/>
  <c r="H40" i="6"/>
  <c r="K20" i="6"/>
  <c r="P20" i="6"/>
  <c r="H21" i="6"/>
  <c r="P14" i="6"/>
  <c r="K14" i="6"/>
  <c r="I34" i="6"/>
  <c r="L33" i="6"/>
  <c r="M14" i="6"/>
  <c r="J35" i="6"/>
  <c r="M35" i="6" s="1"/>
  <c r="M34" i="6"/>
  <c r="J27" i="6"/>
  <c r="M26" i="6"/>
  <c r="P25" i="6"/>
  <c r="H26" i="6"/>
  <c r="K25" i="6"/>
  <c r="P34" i="6"/>
  <c r="H35" i="6"/>
  <c r="K34" i="6"/>
  <c r="D9" i="4"/>
  <c r="N12" i="6"/>
  <c r="A13" i="6"/>
  <c r="P35" i="6" l="1"/>
  <c r="K35" i="6"/>
  <c r="P21" i="6"/>
  <c r="K21" i="6"/>
  <c r="P40" i="6"/>
  <c r="K40" i="6"/>
  <c r="P26" i="6"/>
  <c r="H27" i="6"/>
  <c r="K26" i="6"/>
  <c r="A14" i="6"/>
  <c r="N13" i="6"/>
  <c r="M27" i="6"/>
  <c r="J28" i="6"/>
  <c r="I35" i="6"/>
  <c r="L35" i="6" s="1"/>
  <c r="L34" i="6"/>
  <c r="M28" i="6" l="1"/>
  <c r="J42" i="6"/>
  <c r="M42" i="6"/>
  <c r="L42" i="6"/>
  <c r="N14" i="6"/>
  <c r="A15" i="6"/>
  <c r="I42" i="6"/>
  <c r="P27" i="6"/>
  <c r="H28" i="6"/>
  <c r="K27" i="6"/>
  <c r="N15" i="6" l="1"/>
  <c r="A16" i="6"/>
  <c r="G67" i="6"/>
  <c r="I67" i="6" s="1"/>
  <c r="G53" i="6"/>
  <c r="I53" i="6" s="1"/>
  <c r="G68" i="6"/>
  <c r="I68" i="6" s="1"/>
  <c r="G54" i="6"/>
  <c r="I54" i="6" s="1"/>
  <c r="P28" i="6"/>
  <c r="K28" i="6"/>
  <c r="K42" i="6" s="1"/>
  <c r="H42" i="6"/>
  <c r="G66" i="6" l="1"/>
  <c r="I66" i="6" s="1"/>
  <c r="I70" i="6" s="1"/>
  <c r="G52" i="6"/>
  <c r="I52" i="6" s="1"/>
  <c r="I56" i="6" s="1"/>
  <c r="N16" i="6"/>
  <c r="A17" i="6"/>
  <c r="N17" i="6" l="1"/>
  <c r="A18" i="6"/>
  <c r="A19" i="6" l="1"/>
  <c r="N18" i="6"/>
  <c r="N19" i="6" l="1"/>
  <c r="A20" i="6"/>
  <c r="A21" i="6" l="1"/>
  <c r="N20" i="6"/>
  <c r="A22" i="6" l="1"/>
  <c r="N21" i="6"/>
  <c r="N22" i="6" l="1"/>
  <c r="A23" i="6"/>
  <c r="A24" i="6" l="1"/>
  <c r="N23" i="6"/>
  <c r="N24" i="6" l="1"/>
  <c r="A25" i="6"/>
  <c r="A26" i="6" l="1"/>
  <c r="N25" i="6"/>
  <c r="N26" i="6" l="1"/>
  <c r="A27" i="6"/>
  <c r="A28" i="6" l="1"/>
  <c r="N27" i="6"/>
  <c r="N28" i="6" l="1"/>
  <c r="A29" i="6"/>
  <c r="N29" i="6" l="1"/>
  <c r="A30" i="6"/>
  <c r="A31" i="6" l="1"/>
  <c r="N30" i="6"/>
  <c r="A32" i="6" l="1"/>
  <c r="N31" i="6"/>
  <c r="A33" i="6" l="1"/>
  <c r="N32" i="6"/>
  <c r="A34" i="6" l="1"/>
  <c r="N33" i="6"/>
  <c r="A35" i="6" l="1"/>
  <c r="N34" i="6"/>
  <c r="A36" i="6" l="1"/>
  <c r="N35" i="6"/>
  <c r="A37" i="6" l="1"/>
  <c r="N36" i="6"/>
  <c r="A38" i="6" l="1"/>
  <c r="N37" i="6"/>
  <c r="A39" i="6" l="1"/>
  <c r="N38" i="6"/>
  <c r="A40" i="6" l="1"/>
  <c r="N40" i="6" s="1"/>
  <c r="N39" i="6"/>
  <c r="F66" i="3" l="1"/>
  <c r="E66" i="3"/>
  <c r="F52" i="3"/>
  <c r="E52" i="3"/>
  <c r="G42" i="3"/>
  <c r="F42" i="3"/>
  <c r="E42" i="3"/>
  <c r="P39" i="3"/>
  <c r="L39" i="3"/>
  <c r="J39" i="3"/>
  <c r="I39" i="3"/>
  <c r="H39" i="3"/>
  <c r="D39" i="3"/>
  <c r="M39" i="3" s="1"/>
  <c r="C39" i="3"/>
  <c r="B39" i="3"/>
  <c r="K39" i="3" s="1"/>
  <c r="P38" i="3"/>
  <c r="M38" i="3"/>
  <c r="K38" i="3"/>
  <c r="D38" i="3"/>
  <c r="C38" i="3"/>
  <c r="L38" i="3" s="1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L33" i="3"/>
  <c r="I33" i="3"/>
  <c r="I34" i="3" s="1"/>
  <c r="D33" i="3"/>
  <c r="C33" i="3"/>
  <c r="B33" i="3"/>
  <c r="M32" i="3"/>
  <c r="L32" i="3"/>
  <c r="J32" i="3"/>
  <c r="J33" i="3" s="1"/>
  <c r="J34" i="3" s="1"/>
  <c r="I32" i="3"/>
  <c r="H32" i="3"/>
  <c r="H33" i="3" s="1"/>
  <c r="D32" i="3"/>
  <c r="C32" i="3"/>
  <c r="B32" i="3"/>
  <c r="K32" i="3" s="1"/>
  <c r="P31" i="3"/>
  <c r="M31" i="3"/>
  <c r="L31" i="3"/>
  <c r="D31" i="3"/>
  <c r="C31" i="3"/>
  <c r="B31" i="3"/>
  <c r="K31" i="3" s="1"/>
  <c r="D30" i="3"/>
  <c r="C30" i="3"/>
  <c r="B30" i="3"/>
  <c r="D29" i="3"/>
  <c r="C29" i="3"/>
  <c r="B29" i="3"/>
  <c r="D28" i="3"/>
  <c r="C28" i="3"/>
  <c r="B28" i="3"/>
  <c r="D27" i="3"/>
  <c r="C27" i="3"/>
  <c r="B27" i="3"/>
  <c r="H26" i="3"/>
  <c r="P26" i="3" s="1"/>
  <c r="D26" i="3"/>
  <c r="C26" i="3"/>
  <c r="B26" i="3"/>
  <c r="K26" i="3" s="1"/>
  <c r="M25" i="3"/>
  <c r="J25" i="3"/>
  <c r="J26" i="3" s="1"/>
  <c r="I25" i="3"/>
  <c r="I26" i="3" s="1"/>
  <c r="H25" i="3"/>
  <c r="P25" i="3" s="1"/>
  <c r="D25" i="3"/>
  <c r="C25" i="3"/>
  <c r="B25" i="3"/>
  <c r="K25" i="3" s="1"/>
  <c r="P24" i="3"/>
  <c r="M24" i="3"/>
  <c r="D24" i="3"/>
  <c r="C24" i="3"/>
  <c r="L24" i="3" s="1"/>
  <c r="B24" i="3"/>
  <c r="K24" i="3" s="1"/>
  <c r="D23" i="3"/>
  <c r="C23" i="3"/>
  <c r="L23" i="3" s="1"/>
  <c r="B23" i="3"/>
  <c r="D22" i="3"/>
  <c r="C22" i="3"/>
  <c r="B22" i="3"/>
  <c r="D21" i="3"/>
  <c r="C21" i="3"/>
  <c r="B21" i="3"/>
  <c r="D20" i="3"/>
  <c r="C20" i="3"/>
  <c r="L20" i="3" s="1"/>
  <c r="B20" i="3"/>
  <c r="I19" i="3"/>
  <c r="I20" i="3" s="1"/>
  <c r="I21" i="3" s="1"/>
  <c r="I22" i="3" s="1"/>
  <c r="I23" i="3" s="1"/>
  <c r="D19" i="3"/>
  <c r="C19" i="3"/>
  <c r="L19" i="3" s="1"/>
  <c r="B19" i="3"/>
  <c r="J18" i="3"/>
  <c r="J19" i="3" s="1"/>
  <c r="I18" i="3"/>
  <c r="H18" i="3"/>
  <c r="P18" i="3" s="1"/>
  <c r="D18" i="3"/>
  <c r="C18" i="3"/>
  <c r="L18" i="3" s="1"/>
  <c r="B18" i="3"/>
  <c r="K18" i="3" s="1"/>
  <c r="P17" i="3"/>
  <c r="M17" i="3"/>
  <c r="D17" i="3"/>
  <c r="C17" i="3"/>
  <c r="L17" i="3" s="1"/>
  <c r="B17" i="3"/>
  <c r="K17" i="3" s="1"/>
  <c r="D16" i="3"/>
  <c r="C16" i="3"/>
  <c r="B16" i="3"/>
  <c r="D15" i="3"/>
  <c r="M15" i="3" s="1"/>
  <c r="C15" i="3"/>
  <c r="B15" i="3"/>
  <c r="D14" i="3"/>
  <c r="M14" i="3" s="1"/>
  <c r="C14" i="3"/>
  <c r="B14" i="3"/>
  <c r="D13" i="3"/>
  <c r="C13" i="3"/>
  <c r="B13" i="3"/>
  <c r="D12" i="3"/>
  <c r="C12" i="3"/>
  <c r="L12" i="3" s="1"/>
  <c r="B12" i="3"/>
  <c r="K11" i="3"/>
  <c r="J11" i="3"/>
  <c r="J12" i="3" s="1"/>
  <c r="J13" i="3" s="1"/>
  <c r="J14" i="3" s="1"/>
  <c r="J15" i="3" s="1"/>
  <c r="J16" i="3" s="1"/>
  <c r="I11" i="3"/>
  <c r="I12" i="3" s="1"/>
  <c r="H11" i="3"/>
  <c r="P11" i="3" s="1"/>
  <c r="D11" i="3"/>
  <c r="D42" i="3" s="1"/>
  <c r="C11" i="3"/>
  <c r="C42" i="3" s="1"/>
  <c r="B11" i="3"/>
  <c r="B42" i="3" s="1"/>
  <c r="P10" i="3"/>
  <c r="M10" i="3"/>
  <c r="L10" i="3"/>
  <c r="K10" i="3"/>
  <c r="C3" i="3"/>
  <c r="A10" i="3" s="1"/>
  <c r="D30" i="2"/>
  <c r="E30" i="2" s="1"/>
  <c r="L23" i="2"/>
  <c r="J23" i="2"/>
  <c r="G18" i="2"/>
  <c r="L13" i="2"/>
  <c r="J13" i="2"/>
  <c r="L12" i="2"/>
  <c r="L14" i="2" s="1"/>
  <c r="J12" i="2"/>
  <c r="J14" i="2" s="1"/>
  <c r="J9" i="2"/>
  <c r="J16" i="2" s="1"/>
  <c r="J25" i="2" s="1"/>
  <c r="L8" i="2"/>
  <c r="J8" i="2"/>
  <c r="L7" i="2"/>
  <c r="L9" i="2" s="1"/>
  <c r="L16" i="2" s="1"/>
  <c r="L25" i="2" s="1"/>
  <c r="J7" i="2"/>
  <c r="B3" i="2"/>
  <c r="B28" i="2" s="1"/>
  <c r="A32" i="1"/>
  <c r="D25" i="1"/>
  <c r="F24" i="1"/>
  <c r="F32" i="1" s="1"/>
  <c r="D24" i="1"/>
  <c r="D32" i="1" s="1"/>
  <c r="A24" i="1"/>
  <c r="F22" i="1"/>
  <c r="F30" i="1" s="1"/>
  <c r="D22" i="1"/>
  <c r="D30" i="1" s="1"/>
  <c r="A15" i="1"/>
  <c r="A17" i="1" s="1"/>
  <c r="A18" i="1" s="1"/>
  <c r="A19" i="1" s="1"/>
  <c r="A14" i="1"/>
  <c r="F11" i="1"/>
  <c r="D11" i="1"/>
  <c r="I35" i="3" l="1"/>
  <c r="L34" i="3"/>
  <c r="M12" i="3"/>
  <c r="L15" i="3"/>
  <c r="L21" i="3"/>
  <c r="D13" i="1"/>
  <c r="D15" i="1" s="1"/>
  <c r="D14" i="1"/>
  <c r="L14" i="3"/>
  <c r="P33" i="3"/>
  <c r="H34" i="3"/>
  <c r="A11" i="3"/>
  <c r="N10" i="3"/>
  <c r="M26" i="3"/>
  <c r="J27" i="3"/>
  <c r="K33" i="3"/>
  <c r="I13" i="3"/>
  <c r="I14" i="3" s="1"/>
  <c r="I15" i="3" s="1"/>
  <c r="I16" i="3" s="1"/>
  <c r="L16" i="3" s="1"/>
  <c r="M13" i="3"/>
  <c r="L22" i="3"/>
  <c r="I27" i="3"/>
  <c r="L26" i="3"/>
  <c r="L13" i="3"/>
  <c r="M16" i="3"/>
  <c r="M33" i="3"/>
  <c r="M35" i="3"/>
  <c r="F13" i="1"/>
  <c r="F15" i="1" s="1"/>
  <c r="F14" i="1"/>
  <c r="J20" i="3"/>
  <c r="M19" i="3"/>
  <c r="J35" i="3"/>
  <c r="J36" i="3" s="1"/>
  <c r="M34" i="3"/>
  <c r="H27" i="3"/>
  <c r="K27" i="3" s="1"/>
  <c r="P32" i="3"/>
  <c r="L11" i="3"/>
  <c r="H12" i="3"/>
  <c r="K12" i="3" s="1"/>
  <c r="M11" i="3"/>
  <c r="H19" i="3"/>
  <c r="K19" i="3" s="1"/>
  <c r="M18" i="3"/>
  <c r="L25" i="3"/>
  <c r="I28" i="3" l="1"/>
  <c r="L27" i="3"/>
  <c r="J21" i="3"/>
  <c r="M20" i="3"/>
  <c r="J28" i="3"/>
  <c r="M27" i="3"/>
  <c r="L35" i="3"/>
  <c r="I36" i="3"/>
  <c r="H13" i="3"/>
  <c r="P12" i="3"/>
  <c r="H35" i="3"/>
  <c r="K34" i="3"/>
  <c r="P34" i="3"/>
  <c r="P27" i="3"/>
  <c r="H28" i="3"/>
  <c r="H20" i="3"/>
  <c r="P19" i="3"/>
  <c r="J37" i="3"/>
  <c r="M37" i="3" s="1"/>
  <c r="M36" i="3"/>
  <c r="A12" i="3"/>
  <c r="N11" i="3"/>
  <c r="M28" i="3" l="1"/>
  <c r="J29" i="3"/>
  <c r="P35" i="3"/>
  <c r="H36" i="3"/>
  <c r="K35" i="3"/>
  <c r="A13" i="3"/>
  <c r="N12" i="3"/>
  <c r="J22" i="3"/>
  <c r="M21" i="3"/>
  <c r="P20" i="3"/>
  <c r="H21" i="3"/>
  <c r="K20" i="3"/>
  <c r="I29" i="3"/>
  <c r="L28" i="3"/>
  <c r="P13" i="3"/>
  <c r="H14" i="3"/>
  <c r="K13" i="3"/>
  <c r="P28" i="3"/>
  <c r="H29" i="3"/>
  <c r="K28" i="3"/>
  <c r="I37" i="3"/>
  <c r="L37" i="3" s="1"/>
  <c r="L36" i="3"/>
  <c r="J23" i="3" l="1"/>
  <c r="M23" i="3" s="1"/>
  <c r="M22" i="3"/>
  <c r="M42" i="3" s="1"/>
  <c r="A14" i="3"/>
  <c r="N13" i="3"/>
  <c r="H15" i="3"/>
  <c r="P14" i="3"/>
  <c r="K14" i="3"/>
  <c r="I30" i="3"/>
  <c r="L30" i="3" s="1"/>
  <c r="L42" i="3" s="1"/>
  <c r="L29" i="3"/>
  <c r="H22" i="3"/>
  <c r="P21" i="3"/>
  <c r="K21" i="3"/>
  <c r="P29" i="3"/>
  <c r="H30" i="3"/>
  <c r="K29" i="3"/>
  <c r="H37" i="3"/>
  <c r="K36" i="3"/>
  <c r="P36" i="3"/>
  <c r="J30" i="3"/>
  <c r="M30" i="3" s="1"/>
  <c r="M29" i="3"/>
  <c r="G67" i="3" l="1"/>
  <c r="I67" i="3" s="1"/>
  <c r="G53" i="3"/>
  <c r="I53" i="3" s="1"/>
  <c r="G68" i="3"/>
  <c r="I68" i="3" s="1"/>
  <c r="G54" i="3"/>
  <c r="I54" i="3" s="1"/>
  <c r="J42" i="3"/>
  <c r="P15" i="3"/>
  <c r="K15" i="3"/>
  <c r="H16" i="3"/>
  <c r="P37" i="3"/>
  <c r="K37" i="3"/>
  <c r="P22" i="3"/>
  <c r="H23" i="3"/>
  <c r="K22" i="3"/>
  <c r="I42" i="3"/>
  <c r="A15" i="3"/>
  <c r="N14" i="3"/>
  <c r="P30" i="3"/>
  <c r="K30" i="3"/>
  <c r="P23" i="3" l="1"/>
  <c r="K23" i="3"/>
  <c r="A16" i="3"/>
  <c r="N15" i="3"/>
  <c r="H42" i="3"/>
  <c r="P16" i="3"/>
  <c r="K16" i="3"/>
  <c r="K42" i="3" s="1"/>
  <c r="G66" i="3" l="1"/>
  <c r="I66" i="3" s="1"/>
  <c r="I70" i="3" s="1"/>
  <c r="G52" i="3"/>
  <c r="I52" i="3" s="1"/>
  <c r="I56" i="3" s="1"/>
  <c r="A17" i="3"/>
  <c r="N16" i="3"/>
  <c r="N17" i="3" l="1"/>
  <c r="A18" i="3"/>
  <c r="A19" i="3" l="1"/>
  <c r="N18" i="3"/>
  <c r="N19" i="3" l="1"/>
  <c r="A20" i="3"/>
  <c r="A21" i="3" l="1"/>
  <c r="N20" i="3"/>
  <c r="N21" i="3" l="1"/>
  <c r="A22" i="3"/>
  <c r="A23" i="3" l="1"/>
  <c r="N22" i="3"/>
  <c r="A24" i="3" l="1"/>
  <c r="N23" i="3"/>
  <c r="A25" i="3" l="1"/>
  <c r="N24" i="3"/>
  <c r="N25" i="3" l="1"/>
  <c r="A26" i="3"/>
  <c r="A27" i="3" l="1"/>
  <c r="N26" i="3"/>
  <c r="N27" i="3" l="1"/>
  <c r="A28" i="3"/>
  <c r="A29" i="3" l="1"/>
  <c r="N28" i="3"/>
  <c r="N29" i="3" l="1"/>
  <c r="A30" i="3"/>
  <c r="A31" i="3" l="1"/>
  <c r="N30" i="3"/>
  <c r="A32" i="3" l="1"/>
  <c r="N31" i="3"/>
  <c r="N32" i="3" l="1"/>
  <c r="A33" i="3"/>
  <c r="A34" i="3" l="1"/>
  <c r="N33" i="3"/>
  <c r="N34" i="3" l="1"/>
  <c r="A35" i="3"/>
  <c r="A36" i="3" l="1"/>
  <c r="N35" i="3"/>
  <c r="N36" i="3" l="1"/>
  <c r="A37" i="3"/>
  <c r="A38" i="3" l="1"/>
  <c r="N37" i="3"/>
  <c r="A39" i="3" l="1"/>
  <c r="N39" i="3" s="1"/>
  <c r="N38" i="3"/>
</calcChain>
</file>

<file path=xl/comments1.xml><?xml version="1.0" encoding="utf-8"?>
<comments xmlns="http://schemas.openxmlformats.org/spreadsheetml/2006/main">
  <authors>
    <author>Nisource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Annual MDQ of 16,000 of Zone L/1 - Zn 3 plus PS/GHG Surcharge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Summer MDQ: 104,940
(Apr-Sep)
Winter MDQ: 209,880
(Oct-Mar)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Per CKY PSC order # 20200724 - Case No. 2017-00453 eff 7/24/20 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Annual MDQ of 16,000 of Zone L/1 - Zn 3 plus PS/GHG Surcharge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Summer MDQ: 104,940
(Apr-Sep)
Winter MDQ: 209,880
(Oct-Mar)</t>
        </r>
      </text>
    </comment>
  </commentList>
</comments>
</file>

<file path=xl/sharedStrings.xml><?xml version="1.0" encoding="utf-8"?>
<sst xmlns="http://schemas.openxmlformats.org/spreadsheetml/2006/main" count="810" uniqueCount="116">
  <si>
    <t>Columbia Gas of Kentucky, Inc.</t>
  </si>
  <si>
    <t>Monthly Performance Based Rate Calculation</t>
  </si>
  <si>
    <t xml:space="preserve">Flow Period: </t>
  </si>
  <si>
    <t>Ln.</t>
  </si>
  <si>
    <t>PBR Component Description</t>
  </si>
  <si>
    <t>ESTIMATE</t>
  </si>
  <si>
    <t>ACTUAL</t>
  </si>
  <si>
    <t>CPS = (TPBR) x ASP</t>
  </si>
  <si>
    <t>30% of first 2% of AGC</t>
  </si>
  <si>
    <t>50% of remainder</t>
  </si>
  <si>
    <t>Total Company Performance Share</t>
  </si>
  <si>
    <t>TCI  (includes Marketed CapR)</t>
  </si>
  <si>
    <t>GCI</t>
  </si>
  <si>
    <t>OSSI</t>
  </si>
  <si>
    <t>Sales</t>
  </si>
  <si>
    <t>Exch</t>
  </si>
  <si>
    <t>(1)</t>
  </si>
  <si>
    <t>TPBR = (TCI+GCI+OSSI)</t>
  </si>
  <si>
    <t>AGC (**Total Gas Cost)</t>
  </si>
  <si>
    <t>Sys Supply Purch</t>
  </si>
  <si>
    <t>Diversified (Term)</t>
  </si>
  <si>
    <t>(est)</t>
  </si>
  <si>
    <t>(act)</t>
  </si>
  <si>
    <t>Misc Adjustment</t>
  </si>
  <si>
    <t>Transportation</t>
  </si>
  <si>
    <t>2% of AGC</t>
  </si>
  <si>
    <t>PAC = (TPBR) / AGC</t>
  </si>
  <si>
    <t>Acronyms:</t>
  </si>
  <si>
    <t>CPS = Company Performance Share</t>
  </si>
  <si>
    <t xml:space="preserve">    **Total Gas Cost = System Supply Purchase + Transportation Costs</t>
  </si>
  <si>
    <t>TPBR = Total Performance Based Results</t>
  </si>
  <si>
    <t>ASP = Applicable Sharing Percentage</t>
  </si>
  <si>
    <t>PAC = Percent of Actual Gas Costs</t>
  </si>
  <si>
    <t>AGC = Actual Gas Costs</t>
  </si>
  <si>
    <t>TCI = Transportation Cost Incentive</t>
  </si>
  <si>
    <t>OSSI = Off-System Sales Incentive</t>
  </si>
  <si>
    <t>GCI = Gas Cost Incentive</t>
  </si>
  <si>
    <t xml:space="preserve">(1) Includes exchange revenue on exchanges that begin on or after 4/1/2015.  </t>
  </si>
  <si>
    <t>CKY TCI CALCULATION (Discounted/Negotiated Contracts &amp; Marketed Capacity Release Revenue)</t>
  </si>
  <si>
    <t>Flow Month:</t>
  </si>
  <si>
    <t>Contract</t>
  </si>
  <si>
    <t>Rate</t>
  </si>
  <si>
    <t>Pipeline</t>
  </si>
  <si>
    <t>Number</t>
  </si>
  <si>
    <t>Sched</t>
  </si>
  <si>
    <t>P/L MDQ</t>
  </si>
  <si>
    <t>Max Rate</t>
  </si>
  <si>
    <t>Calculation</t>
  </si>
  <si>
    <t>Estimate</t>
  </si>
  <si>
    <t>Actual</t>
  </si>
  <si>
    <t>BENCHMARK</t>
  </si>
  <si>
    <t>(TBTC)</t>
  </si>
  <si>
    <t>Tenn</t>
  </si>
  <si>
    <t>FTA</t>
  </si>
  <si>
    <t>Demand Vol @ Max Rate</t>
  </si>
  <si>
    <t>TCO</t>
  </si>
  <si>
    <t>SST</t>
  </si>
  <si>
    <t>Benchmark Cost</t>
  </si>
  <si>
    <t>Disc Rate</t>
  </si>
  <si>
    <t>CKY COST</t>
  </si>
  <si>
    <t>(TATC)</t>
  </si>
  <si>
    <t>Demand Vol @ Disc Rate</t>
  </si>
  <si>
    <t>CKY Negotiated Cost</t>
  </si>
  <si>
    <t>TCI  Negotiated Contract Revenue</t>
  </si>
  <si>
    <t>Marketed Cap Release</t>
  </si>
  <si>
    <t>FTS</t>
  </si>
  <si>
    <t>TGP</t>
  </si>
  <si>
    <t>CKT</t>
  </si>
  <si>
    <t>TCI  Marketed Capacity Release Revenue</t>
  </si>
  <si>
    <t>Total TCI</t>
  </si>
  <si>
    <t xml:space="preserve">BENCHMARK CALCULATION PER 7/24/20 CKY PSC ORDER - CASE NO. 2017-00453 </t>
  </si>
  <si>
    <t>Per PSC</t>
  </si>
  <si>
    <t>Gross up</t>
  </si>
  <si>
    <t>TCO SST Rate</t>
  </si>
  <si>
    <t>Order</t>
  </si>
  <si>
    <t>Factor %</t>
  </si>
  <si>
    <t>Benchmark Rate</t>
  </si>
  <si>
    <t>Benchmark Calc:</t>
  </si>
  <si>
    <t xml:space="preserve">PSC Order Effective 7/24/20 with an expiration date of 3/31/21  </t>
  </si>
  <si>
    <t>TBTC -</t>
  </si>
  <si>
    <t>Total Benchmark Transportation Cost (Disc Contr MDQ Quantity x Calculated Benchmark Rate)</t>
  </si>
  <si>
    <t>TATC -</t>
  </si>
  <si>
    <t>Total Actual Transportation Cost (from Transportation Closing Report)</t>
  </si>
  <si>
    <t xml:space="preserve">TCI - </t>
  </si>
  <si>
    <t>Transportation Cost Incentive</t>
  </si>
  <si>
    <t>CKY GCI CALCULATION</t>
  </si>
  <si>
    <t>Flow Period:</t>
  </si>
  <si>
    <t>Weekly Spot Price</t>
  </si>
  <si>
    <t>Weighted Avg Calculated</t>
  </si>
  <si>
    <t>GD - NGW</t>
  </si>
  <si>
    <t>Flow</t>
  </si>
  <si>
    <t>Inside FERC</t>
  </si>
  <si>
    <t>Gas Daily</t>
  </si>
  <si>
    <t>Natural Gas Week (NGW)</t>
  </si>
  <si>
    <t>Benchmark Rate by P/L</t>
  </si>
  <si>
    <t>P10 Comp</t>
  </si>
  <si>
    <t>Date</t>
  </si>
  <si>
    <t>TCO P10</t>
  </si>
  <si>
    <t>CGT Main</t>
  </si>
  <si>
    <t>TGP 500</t>
  </si>
  <si>
    <t>Gain/(Loss)</t>
  </si>
  <si>
    <t>(Rayne)</t>
  </si>
  <si>
    <t>Avg Rate</t>
  </si>
  <si>
    <t>MONTHLY PURCHASE ACTIVITY (Non-Citygate System Supply) - ESTIMATE</t>
  </si>
  <si>
    <t>Purchase</t>
  </si>
  <si>
    <t>Benchmark</t>
  </si>
  <si>
    <t>Rec Point</t>
  </si>
  <si>
    <t>Volume</t>
  </si>
  <si>
    <t>Cost</t>
  </si>
  <si>
    <t>GCI Savings (Cost)</t>
  </si>
  <si>
    <t>P10</t>
  </si>
  <si>
    <t>CGT</t>
  </si>
  <si>
    <t>M/L</t>
  </si>
  <si>
    <t>TENN</t>
  </si>
  <si>
    <t>MONTHLY PURCHASE ACTIVITY (Non-Citygate System Supply) - ACTUAL</t>
  </si>
  <si>
    <t>Payment will be made on Feb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</si>
</sst>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3" formatCode="_(* #,##0.00_);_(* \(#,##0.00\);_(* &quot;-&quot;??_);_(@_)"/>
    <numFmt numFmtId="164" formatCode="[$-409]mmm\-yy;@"/>
    <numFmt numFmtId="165" formatCode="[$-409]mmmm\-yy;@"/>
    <numFmt numFmtId="166" formatCode="&quot;$&quot;#,##0"/>
    <numFmt numFmtId="167" formatCode="0.000%"/>
    <numFmt numFmtId="168" formatCode="&quot;$&quot;#,##0.0000_);\(&quot;$&quot;#,##0.0000\)"/>
    <numFmt numFmtId="169" formatCode="_(* #,##0_);_(* \(#,##0\);_(* &quot;-&quot;??_);_(@_)"/>
    <numFmt numFmtId="170" formatCode="&quot;$&quot;#,##0.000"/>
    <numFmt numFmtId="171" formatCode="m/d/yy;@"/>
    <numFmt numFmtId="172" formatCode="&quot;$&quot;#,##0.0000"/>
    <numFmt numFmtId="173" formatCode="&quot;$&quot;#,##0.0000_);[Red]\(&quot;$&quot;#,##0.0000\)"/>
    <numFmt numFmtId="17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u/>
      <sz val="10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22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7" fontId="11" fillId="0" borderId="0" xfId="1" applyNumberFormat="1" applyFont="1" applyBorder="1"/>
    <xf numFmtId="166" fontId="11" fillId="0" borderId="0" xfId="1" applyNumberFormat="1" applyFont="1" applyBorder="1"/>
    <xf numFmtId="9" fontId="5" fillId="0" borderId="0" xfId="0" applyNumberFormat="1" applyFont="1" applyBorder="1" applyAlignment="1">
      <alignment horizontal="left"/>
    </xf>
    <xf numFmtId="7" fontId="12" fillId="0" borderId="0" xfId="1" applyNumberFormat="1" applyFont="1" applyBorder="1"/>
    <xf numFmtId="166" fontId="12" fillId="0" borderId="0" xfId="1" applyNumberFormat="1" applyFont="1" applyBorder="1"/>
    <xf numFmtId="0" fontId="8" fillId="0" borderId="0" xfId="0" applyFont="1" applyBorder="1"/>
    <xf numFmtId="7" fontId="13" fillId="0" borderId="0" xfId="1" applyNumberFormat="1" applyFont="1" applyBorder="1"/>
    <xf numFmtId="166" fontId="13" fillId="0" borderId="0" xfId="1" applyNumberFormat="1" applyFont="1" applyBorder="1"/>
    <xf numFmtId="9" fontId="5" fillId="0" borderId="0" xfId="0" applyNumberFormat="1" applyFont="1" applyBorder="1"/>
    <xf numFmtId="7" fontId="14" fillId="0" borderId="0" xfId="1" applyNumberFormat="1" applyFont="1" applyBorder="1"/>
    <xf numFmtId="166" fontId="14" fillId="0" borderId="0" xfId="1" applyNumberFormat="1" applyFont="1" applyBorder="1"/>
    <xf numFmtId="7" fontId="15" fillId="0" borderId="0" xfId="1" applyNumberFormat="1" applyFont="1" applyBorder="1"/>
    <xf numFmtId="166" fontId="13" fillId="0" borderId="0" xfId="1" quotePrefix="1" applyNumberFormat="1" applyFont="1" applyBorder="1" applyAlignment="1">
      <alignment horizontal="center"/>
    </xf>
    <xf numFmtId="166" fontId="15" fillId="0" borderId="0" xfId="1" applyNumberFormat="1" applyFont="1" applyBorder="1"/>
    <xf numFmtId="7" fontId="5" fillId="0" borderId="0" xfId="0" applyNumberFormat="1" applyFont="1" applyBorder="1"/>
    <xf numFmtId="7" fontId="15" fillId="0" borderId="0" xfId="1" applyNumberFormat="1" applyFont="1" applyFill="1" applyBorder="1"/>
    <xf numFmtId="166" fontId="14" fillId="0" borderId="0" xfId="1" applyNumberFormat="1" applyFont="1" applyFill="1" applyBorder="1"/>
    <xf numFmtId="166" fontId="15" fillId="0" borderId="0" xfId="1" applyNumberFormat="1" applyFont="1" applyFill="1" applyBorder="1"/>
    <xf numFmtId="0" fontId="5" fillId="0" borderId="0" xfId="0" applyFont="1" applyBorder="1" applyAlignment="1">
      <alignment horizontal="right"/>
    </xf>
    <xf numFmtId="10" fontId="5" fillId="0" borderId="0" xfId="0" applyNumberFormat="1" applyFont="1" applyBorder="1"/>
    <xf numFmtId="166" fontId="11" fillId="0" borderId="0" xfId="1" quotePrefix="1" applyNumberFormat="1" applyFont="1" applyFill="1" applyBorder="1" applyAlignment="1">
      <alignment horizontal="center"/>
    </xf>
    <xf numFmtId="0" fontId="5" fillId="0" borderId="0" xfId="0" applyFont="1" applyFill="1"/>
    <xf numFmtId="167" fontId="5" fillId="0" borderId="0" xfId="0" applyNumberFormat="1" applyFont="1" applyBorder="1"/>
    <xf numFmtId="7" fontId="11" fillId="0" borderId="0" xfId="1" applyNumberFormat="1" applyFont="1" applyFill="1" applyBorder="1"/>
    <xf numFmtId="7" fontId="5" fillId="0" borderId="0" xfId="0" applyNumberFormat="1" applyFont="1" applyFill="1"/>
    <xf numFmtId="7" fontId="5" fillId="0" borderId="0" xfId="0" applyNumberFormat="1" applyFont="1"/>
    <xf numFmtId="166" fontId="5" fillId="0" borderId="0" xfId="0" applyNumberFormat="1" applyFont="1" applyBorder="1"/>
    <xf numFmtId="10" fontId="5" fillId="0" borderId="0" xfId="2" applyNumberFormat="1" applyFont="1" applyBorder="1"/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/>
    <xf numFmtId="0" fontId="5" fillId="0" borderId="0" xfId="0" quotePrefix="1" applyFont="1"/>
    <xf numFmtId="0" fontId="8" fillId="0" borderId="0" xfId="0" applyFont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7" fontId="0" fillId="0" borderId="0" xfId="0" applyNumberFormat="1"/>
    <xf numFmtId="16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7" fontId="18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7" fontId="19" fillId="0" borderId="0" xfId="0" quotePrefix="1" applyNumberFormat="1" applyFont="1"/>
    <xf numFmtId="0" fontId="0" fillId="0" borderId="0" xfId="0" quotePrefix="1"/>
    <xf numFmtId="7" fontId="0" fillId="0" borderId="0" xfId="0" applyNumberFormat="1" applyFont="1"/>
    <xf numFmtId="169" fontId="19" fillId="0" borderId="0" xfId="1" quotePrefix="1" applyNumberFormat="1" applyFont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7" fontId="0" fillId="2" borderId="0" xfId="0" applyNumberFormat="1" applyFont="1" applyFill="1"/>
    <xf numFmtId="7" fontId="2" fillId="2" borderId="0" xfId="0" applyNumberFormat="1" applyFont="1" applyFill="1"/>
    <xf numFmtId="7" fontId="2" fillId="0" borderId="0" xfId="0" applyNumberFormat="1" applyFont="1"/>
    <xf numFmtId="0" fontId="2" fillId="0" borderId="0" xfId="0" applyFont="1" applyAlignment="1">
      <alignment horizontal="center"/>
    </xf>
    <xf numFmtId="168" fontId="20" fillId="0" borderId="0" xfId="0" applyNumberFormat="1" applyFont="1" applyAlignment="1">
      <alignment horizontal="center"/>
    </xf>
    <xf numFmtId="7" fontId="21" fillId="0" borderId="0" xfId="0" applyNumberFormat="1" applyFont="1"/>
    <xf numFmtId="0" fontId="0" fillId="2" borderId="0" xfId="0" applyFill="1" applyAlignment="1">
      <alignment horizontal="right"/>
    </xf>
    <xf numFmtId="0" fontId="0" fillId="2" borderId="0" xfId="0" applyFill="1"/>
    <xf numFmtId="7" fontId="19" fillId="2" borderId="0" xfId="0" quotePrefix="1" applyNumberFormat="1" applyFont="1" applyFill="1"/>
    <xf numFmtId="7" fontId="21" fillId="2" borderId="0" xfId="0" applyNumberFormat="1" applyFont="1" applyFill="1"/>
    <xf numFmtId="0" fontId="0" fillId="0" borderId="0" xfId="0" applyFont="1"/>
    <xf numFmtId="37" fontId="19" fillId="0" borderId="0" xfId="0" applyNumberFormat="1" applyFont="1" applyAlignment="1">
      <alignment horizontal="center"/>
    </xf>
    <xf numFmtId="168" fontId="19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7" fontId="20" fillId="0" borderId="0" xfId="0" applyNumberFormat="1" applyFont="1"/>
    <xf numFmtId="7" fontId="3" fillId="0" borderId="0" xfId="0" applyNumberFormat="1" applyFont="1"/>
    <xf numFmtId="7" fontId="3" fillId="3" borderId="1" xfId="0" applyNumberFormat="1" applyFont="1" applyFill="1" applyBorder="1"/>
    <xf numFmtId="7" fontId="0" fillId="0" borderId="0" xfId="0" applyNumberFormat="1" applyFill="1"/>
    <xf numFmtId="0" fontId="0" fillId="0" borderId="5" xfId="0" applyBorder="1"/>
    <xf numFmtId="164" fontId="3" fillId="0" borderId="0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6" xfId="0" applyNumberFormat="1" applyBorder="1" applyAlignment="1">
      <alignment horizontal="center"/>
    </xf>
    <xf numFmtId="0" fontId="19" fillId="0" borderId="5" xfId="0" quotePrefix="1" applyFont="1" applyBorder="1"/>
    <xf numFmtId="0" fontId="19" fillId="0" borderId="0" xfId="0" applyFont="1" applyBorder="1" applyAlignment="1">
      <alignment horizontal="center"/>
    </xf>
    <xf numFmtId="0" fontId="22" fillId="0" borderId="5" xfId="0" applyFont="1" applyBorder="1"/>
    <xf numFmtId="170" fontId="19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2" fillId="0" borderId="7" xfId="0" applyFont="1" applyBorder="1"/>
    <xf numFmtId="0" fontId="0" fillId="0" borderId="8" xfId="0" applyBorder="1" applyAlignment="1">
      <alignment horizontal="center"/>
    </xf>
    <xf numFmtId="168" fontId="0" fillId="0" borderId="9" xfId="0" applyNumberFormat="1" applyBorder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171" fontId="24" fillId="0" borderId="0" xfId="3" applyNumberFormat="1" applyFont="1" applyAlignment="1">
      <alignment horizontal="left"/>
    </xf>
    <xf numFmtId="0" fontId="25" fillId="0" borderId="0" xfId="3" applyFont="1" applyAlignment="1">
      <alignment horizontal="center"/>
    </xf>
    <xf numFmtId="0" fontId="23" fillId="0" borderId="0" xfId="3" applyAlignment="1">
      <alignment horizontal="center"/>
    </xf>
    <xf numFmtId="0" fontId="23" fillId="0" borderId="0" xfId="3"/>
    <xf numFmtId="164" fontId="26" fillId="0" borderId="0" xfId="3" applyNumberFormat="1" applyFont="1" applyAlignment="1">
      <alignment horizontal="center"/>
    </xf>
    <xf numFmtId="164" fontId="24" fillId="0" borderId="0" xfId="3" applyNumberFormat="1" applyFont="1" applyAlignment="1">
      <alignment horizontal="center"/>
    </xf>
    <xf numFmtId="0" fontId="23" fillId="0" borderId="0" xfId="3" applyFont="1" applyFill="1" applyBorder="1" applyAlignment="1">
      <alignment horizontal="center"/>
    </xf>
    <xf numFmtId="0" fontId="23" fillId="0" borderId="0" xfId="3" applyFill="1" applyBorder="1" applyAlignment="1">
      <alignment horizontal="center"/>
    </xf>
    <xf numFmtId="171" fontId="23" fillId="0" borderId="0" xfId="3" applyNumberFormat="1" applyAlignment="1">
      <alignment horizontal="center"/>
    </xf>
    <xf numFmtId="171" fontId="27" fillId="0" borderId="13" xfId="3" applyNumberFormat="1" applyFont="1" applyBorder="1" applyAlignment="1">
      <alignment horizontal="center"/>
    </xf>
    <xf numFmtId="171" fontId="27" fillId="0" borderId="7" xfId="3" applyNumberFormat="1" applyFont="1" applyBorder="1" applyAlignment="1">
      <alignment horizontal="center"/>
    </xf>
    <xf numFmtId="0" fontId="27" fillId="4" borderId="2" xfId="3" applyFont="1" applyFill="1" applyBorder="1" applyAlignment="1">
      <alignment horizontal="center"/>
    </xf>
    <xf numFmtId="0" fontId="27" fillId="4" borderId="3" xfId="3" applyFont="1" applyFill="1" applyBorder="1" applyAlignment="1">
      <alignment horizontal="center"/>
    </xf>
    <xf numFmtId="0" fontId="27" fillId="4" borderId="4" xfId="3" applyFont="1" applyFill="1" applyBorder="1" applyAlignment="1">
      <alignment horizontal="center"/>
    </xf>
    <xf numFmtId="0" fontId="27" fillId="5" borderId="2" xfId="3" applyFont="1" applyFill="1" applyBorder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7" fillId="0" borderId="16" xfId="3" applyFont="1" applyFill="1" applyBorder="1" applyAlignment="1">
      <alignment horizontal="center"/>
    </xf>
    <xf numFmtId="0" fontId="27" fillId="0" borderId="3" xfId="3" applyFont="1" applyFill="1" applyBorder="1" applyAlignment="1">
      <alignment horizontal="center"/>
    </xf>
    <xf numFmtId="0" fontId="27" fillId="0" borderId="17" xfId="3" applyFont="1" applyFill="1" applyBorder="1" applyAlignment="1">
      <alignment horizontal="center"/>
    </xf>
    <xf numFmtId="0" fontId="27" fillId="0" borderId="0" xfId="3" applyFont="1" applyFill="1" applyBorder="1" applyAlignment="1">
      <alignment horizontal="center"/>
    </xf>
    <xf numFmtId="0" fontId="28" fillId="0" borderId="0" xfId="3" applyFont="1" applyAlignment="1">
      <alignment horizontal="center"/>
    </xf>
    <xf numFmtId="171" fontId="27" fillId="0" borderId="0" xfId="3" applyNumberFormat="1" applyFont="1" applyBorder="1" applyAlignment="1">
      <alignment horizontal="center"/>
    </xf>
    <xf numFmtId="0" fontId="27" fillId="4" borderId="5" xfId="3" quotePrefix="1" applyFont="1" applyFill="1" applyBorder="1" applyAlignment="1">
      <alignment horizontal="center"/>
    </xf>
    <xf numFmtId="0" fontId="27" fillId="4" borderId="0" xfId="3" quotePrefix="1" applyFont="1" applyFill="1" applyBorder="1" applyAlignment="1">
      <alignment horizontal="center"/>
    </xf>
    <xf numFmtId="0" fontId="27" fillId="4" borderId="6" xfId="3" quotePrefix="1" applyFont="1" applyFill="1" applyBorder="1" applyAlignment="1">
      <alignment horizontal="center"/>
    </xf>
    <xf numFmtId="0" fontId="27" fillId="5" borderId="13" xfId="3" applyFont="1" applyFill="1" applyBorder="1" applyAlignment="1">
      <alignment horizontal="center"/>
    </xf>
    <xf numFmtId="0" fontId="27" fillId="5" borderId="18" xfId="3" applyFont="1" applyFill="1" applyBorder="1" applyAlignment="1">
      <alignment horizontal="center"/>
    </xf>
    <xf numFmtId="0" fontId="27" fillId="5" borderId="19" xfId="3" applyFont="1" applyFill="1" applyBorder="1" applyAlignment="1">
      <alignment horizontal="center"/>
    </xf>
    <xf numFmtId="0" fontId="27" fillId="4" borderId="18" xfId="3" applyFont="1" applyFill="1" applyBorder="1" applyAlignment="1">
      <alignment horizontal="center"/>
    </xf>
    <xf numFmtId="0" fontId="27" fillId="4" borderId="0" xfId="3" applyFont="1" applyFill="1" applyBorder="1" applyAlignment="1">
      <alignment horizontal="center"/>
    </xf>
    <xf numFmtId="0" fontId="27" fillId="0" borderId="20" xfId="3" quotePrefix="1" applyFont="1" applyFill="1" applyBorder="1" applyAlignment="1">
      <alignment horizontal="center"/>
    </xf>
    <xf numFmtId="37" fontId="26" fillId="0" borderId="0" xfId="3" applyNumberFormat="1" applyFont="1" applyBorder="1" applyAlignment="1">
      <alignment horizontal="center"/>
    </xf>
    <xf numFmtId="0" fontId="27" fillId="0" borderId="21" xfId="3" applyFont="1" applyBorder="1" applyAlignment="1">
      <alignment horizontal="center"/>
    </xf>
    <xf numFmtId="168" fontId="26" fillId="0" borderId="5" xfId="3" applyNumberFormat="1" applyFont="1" applyFill="1" applyBorder="1" applyAlignment="1">
      <alignment horizontal="center"/>
    </xf>
    <xf numFmtId="168" fontId="26" fillId="0" borderId="0" xfId="3" applyNumberFormat="1" applyFont="1" applyFill="1" applyBorder="1" applyAlignment="1">
      <alignment horizontal="center"/>
    </xf>
    <xf numFmtId="168" fontId="26" fillId="0" borderId="6" xfId="3" applyNumberFormat="1" applyFont="1" applyFill="1" applyBorder="1" applyAlignment="1">
      <alignment horizontal="center"/>
    </xf>
    <xf numFmtId="168" fontId="29" fillId="0" borderId="5" xfId="3" applyNumberFormat="1" applyFont="1" applyFill="1" applyBorder="1" applyAlignment="1">
      <alignment horizontal="center"/>
    </xf>
    <xf numFmtId="168" fontId="29" fillId="0" borderId="0" xfId="3" applyNumberFormat="1" applyFont="1" applyFill="1" applyBorder="1" applyAlignment="1">
      <alignment horizontal="center"/>
    </xf>
    <xf numFmtId="168" fontId="29" fillId="0" borderId="6" xfId="3" applyNumberFormat="1" applyFont="1" applyFill="1" applyBorder="1" applyAlignment="1">
      <alignment horizontal="center"/>
    </xf>
    <xf numFmtId="172" fontId="23" fillId="0" borderId="20" xfId="3" applyNumberFormat="1" applyBorder="1" applyAlignment="1">
      <alignment horizontal="center"/>
    </xf>
    <xf numFmtId="172" fontId="23" fillId="0" borderId="0" xfId="3" applyNumberFormat="1" applyBorder="1" applyAlignment="1">
      <alignment horizontal="center"/>
    </xf>
    <xf numFmtId="172" fontId="23" fillId="0" borderId="21" xfId="3" applyNumberFormat="1" applyBorder="1" applyAlignment="1">
      <alignment horizontal="center"/>
    </xf>
    <xf numFmtId="173" fontId="23" fillId="0" borderId="0" xfId="3" applyNumberFormat="1"/>
    <xf numFmtId="168" fontId="23" fillId="0" borderId="5" xfId="3" applyNumberFormat="1" applyFont="1" applyFill="1" applyBorder="1" applyAlignment="1">
      <alignment horizontal="center"/>
    </xf>
    <xf numFmtId="168" fontId="23" fillId="0" borderId="0" xfId="3" applyNumberFormat="1" applyFont="1" applyFill="1" applyBorder="1" applyAlignment="1">
      <alignment horizontal="center"/>
    </xf>
    <xf numFmtId="168" fontId="23" fillId="0" borderId="6" xfId="3" applyNumberFormat="1" applyFont="1" applyFill="1" applyBorder="1" applyAlignment="1">
      <alignment horizontal="center"/>
    </xf>
    <xf numFmtId="168" fontId="23" fillId="0" borderId="0" xfId="3" applyNumberFormat="1" applyFont="1" applyFill="1" applyAlignment="1">
      <alignment horizontal="center"/>
    </xf>
    <xf numFmtId="171" fontId="23" fillId="0" borderId="0" xfId="3" applyNumberFormat="1" applyFont="1" applyAlignment="1">
      <alignment horizontal="center"/>
    </xf>
    <xf numFmtId="171" fontId="23" fillId="0" borderId="0" xfId="3" applyNumberFormat="1" applyFill="1" applyAlignment="1">
      <alignment horizontal="center"/>
    </xf>
    <xf numFmtId="172" fontId="23" fillId="0" borderId="20" xfId="3" applyNumberFormat="1" applyFill="1" applyBorder="1" applyAlignment="1">
      <alignment horizontal="center"/>
    </xf>
    <xf numFmtId="172" fontId="23" fillId="0" borderId="0" xfId="3" applyNumberFormat="1" applyFill="1" applyBorder="1" applyAlignment="1">
      <alignment horizontal="center"/>
    </xf>
    <xf numFmtId="172" fontId="23" fillId="0" borderId="21" xfId="3" applyNumberFormat="1" applyFill="1" applyBorder="1" applyAlignment="1">
      <alignment horizontal="center"/>
    </xf>
    <xf numFmtId="171" fontId="23" fillId="0" borderId="0" xfId="3" applyNumberFormat="1" applyFont="1" applyFill="1" applyAlignment="1">
      <alignment horizontal="center"/>
    </xf>
    <xf numFmtId="0" fontId="23" fillId="0" borderId="0" xfId="3" applyFill="1"/>
    <xf numFmtId="173" fontId="23" fillId="0" borderId="0" xfId="3" applyNumberFormat="1" applyFill="1"/>
    <xf numFmtId="171" fontId="27" fillId="0" borderId="0" xfId="3" applyNumberFormat="1" applyFont="1" applyFill="1" applyAlignment="1">
      <alignment horizontal="center"/>
    </xf>
    <xf numFmtId="168" fontId="26" fillId="0" borderId="0" xfId="3" applyNumberFormat="1" applyFont="1" applyFill="1" applyAlignment="1">
      <alignment horizontal="center"/>
    </xf>
    <xf numFmtId="168" fontId="23" fillId="0" borderId="5" xfId="3" applyNumberFormat="1" applyFill="1" applyBorder="1" applyAlignment="1">
      <alignment horizontal="center"/>
    </xf>
    <xf numFmtId="168" fontId="23" fillId="0" borderId="0" xfId="3" applyNumberFormat="1" applyFill="1" applyBorder="1" applyAlignment="1">
      <alignment horizontal="center"/>
    </xf>
    <xf numFmtId="168" fontId="23" fillId="0" borderId="6" xfId="3" applyNumberFormat="1" applyFill="1" applyBorder="1" applyAlignment="1">
      <alignment horizontal="center"/>
    </xf>
    <xf numFmtId="171" fontId="27" fillId="0" borderId="2" xfId="3" applyNumberFormat="1" applyFont="1" applyFill="1" applyBorder="1" applyAlignment="1">
      <alignment horizontal="center"/>
    </xf>
    <xf numFmtId="168" fontId="23" fillId="0" borderId="3" xfId="3" applyNumberFormat="1" applyFill="1" applyBorder="1" applyAlignment="1">
      <alignment horizontal="center"/>
    </xf>
    <xf numFmtId="0" fontId="23" fillId="0" borderId="0" xfId="3" applyFill="1" applyAlignment="1">
      <alignment horizontal="center"/>
    </xf>
    <xf numFmtId="172" fontId="23" fillId="0" borderId="0" xfId="3" applyNumberFormat="1" applyAlignment="1">
      <alignment horizontal="center"/>
    </xf>
    <xf numFmtId="10" fontId="23" fillId="0" borderId="0" xfId="3" applyNumberFormat="1" applyAlignment="1">
      <alignment horizontal="center"/>
    </xf>
    <xf numFmtId="3" fontId="23" fillId="0" borderId="0" xfId="3" applyNumberFormat="1" applyAlignment="1">
      <alignment horizontal="center"/>
    </xf>
    <xf numFmtId="172" fontId="30" fillId="0" borderId="0" xfId="3" applyNumberFormat="1" applyFont="1" applyAlignment="1">
      <alignment horizontal="center"/>
    </xf>
    <xf numFmtId="172" fontId="30" fillId="0" borderId="0" xfId="3" applyNumberFormat="1" applyFont="1" applyFill="1" applyAlignment="1">
      <alignment horizontal="center"/>
    </xf>
    <xf numFmtId="171" fontId="27" fillId="0" borderId="13" xfId="3" applyNumberFormat="1" applyFont="1" applyBorder="1" applyAlignment="1">
      <alignment horizontal="left"/>
    </xf>
    <xf numFmtId="172" fontId="23" fillId="0" borderId="18" xfId="3" applyNumberFormat="1" applyBorder="1" applyAlignment="1">
      <alignment horizontal="center"/>
    </xf>
    <xf numFmtId="172" fontId="23" fillId="0" borderId="19" xfId="3" applyNumberFormat="1" applyBorder="1" applyAlignment="1">
      <alignment horizontal="center"/>
    </xf>
    <xf numFmtId="171" fontId="23" fillId="0" borderId="5" xfId="3" applyNumberFormat="1" applyBorder="1" applyAlignment="1">
      <alignment horizontal="left"/>
    </xf>
    <xf numFmtId="172" fontId="23" fillId="0" borderId="6" xfId="3" applyNumberFormat="1" applyBorder="1" applyAlignment="1">
      <alignment horizontal="center"/>
    </xf>
    <xf numFmtId="171" fontId="23" fillId="0" borderId="5" xfId="3" applyNumberFormat="1" applyBorder="1" applyAlignment="1">
      <alignment horizontal="center"/>
    </xf>
    <xf numFmtId="0" fontId="23" fillId="0" borderId="0" xfId="3" applyBorder="1" applyAlignment="1">
      <alignment horizontal="center"/>
    </xf>
    <xf numFmtId="0" fontId="27" fillId="0" borderId="0" xfId="3" applyFont="1" applyBorder="1" applyAlignment="1">
      <alignment horizontal="center"/>
    </xf>
    <xf numFmtId="0" fontId="23" fillId="0" borderId="6" xfId="3" applyBorder="1" applyAlignment="1">
      <alignment horizontal="center"/>
    </xf>
    <xf numFmtId="174" fontId="25" fillId="0" borderId="0" xfId="3" applyNumberFormat="1" applyFont="1" applyFill="1" applyBorder="1" applyAlignment="1">
      <alignment horizontal="center"/>
    </xf>
    <xf numFmtId="0" fontId="31" fillId="0" borderId="0" xfId="3" applyFont="1" applyBorder="1" applyAlignment="1">
      <alignment horizontal="center"/>
    </xf>
    <xf numFmtId="0" fontId="27" fillId="0" borderId="0" xfId="3" applyFont="1" applyFill="1" applyAlignment="1">
      <alignment horizontal="left"/>
    </xf>
    <xf numFmtId="3" fontId="23" fillId="0" borderId="0" xfId="3" applyNumberFormat="1" applyFill="1" applyAlignment="1">
      <alignment horizontal="center"/>
    </xf>
    <xf numFmtId="37" fontId="29" fillId="0" borderId="0" xfId="3" applyNumberFormat="1" applyFont="1" applyBorder="1" applyAlignment="1">
      <alignment horizontal="center"/>
    </xf>
    <xf numFmtId="7" fontId="29" fillId="0" borderId="0" xfId="3" applyNumberFormat="1" applyFont="1" applyBorder="1" applyAlignment="1">
      <alignment horizontal="center"/>
    </xf>
    <xf numFmtId="7" fontId="23" fillId="0" borderId="0" xfId="3" applyNumberFormat="1" applyBorder="1" applyAlignment="1">
      <alignment horizontal="center"/>
    </xf>
    <xf numFmtId="7" fontId="23" fillId="0" borderId="0" xfId="3" applyNumberFormat="1" applyBorder="1" applyAlignment="1">
      <alignment horizontal="left"/>
    </xf>
    <xf numFmtId="7" fontId="23" fillId="0" borderId="22" xfId="3" applyNumberFormat="1" applyBorder="1" applyAlignment="1">
      <alignment horizontal="center"/>
    </xf>
    <xf numFmtId="7" fontId="23" fillId="0" borderId="23" xfId="3" applyNumberFormat="1" applyBorder="1" applyAlignment="1">
      <alignment horizontal="left"/>
    </xf>
    <xf numFmtId="171" fontId="23" fillId="0" borderId="7" xfId="3" applyNumberFormat="1" applyBorder="1" applyAlignment="1">
      <alignment horizontal="center"/>
    </xf>
    <xf numFmtId="0" fontId="23" fillId="0" borderId="8" xfId="3" applyBorder="1" applyAlignment="1">
      <alignment horizontal="center"/>
    </xf>
    <xf numFmtId="37" fontId="29" fillId="0" borderId="8" xfId="3" applyNumberFormat="1" applyFont="1" applyBorder="1" applyAlignment="1">
      <alignment horizontal="center"/>
    </xf>
    <xf numFmtId="0" fontId="23" fillId="0" borderId="9" xfId="3" applyBorder="1" applyAlignment="1">
      <alignment horizontal="center"/>
    </xf>
    <xf numFmtId="171" fontId="26" fillId="0" borderId="0" xfId="3" applyNumberFormat="1" applyFont="1" applyAlignment="1">
      <alignment horizontal="left"/>
    </xf>
    <xf numFmtId="174" fontId="23" fillId="0" borderId="0" xfId="3" applyNumberFormat="1" applyAlignment="1">
      <alignment horizontal="center"/>
    </xf>
    <xf numFmtId="168" fontId="2" fillId="0" borderId="0" xfId="0" applyNumberFormat="1" applyFont="1" applyFill="1" applyAlignment="1">
      <alignment horizontal="center"/>
    </xf>
    <xf numFmtId="0" fontId="32" fillId="0" borderId="0" xfId="0" applyFont="1"/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68" fontId="3" fillId="0" borderId="4" xfId="0" applyNumberFormat="1" applyFont="1" applyBorder="1" applyAlignment="1">
      <alignment horizontal="center"/>
    </xf>
    <xf numFmtId="0" fontId="31" fillId="0" borderId="0" xfId="3" applyFont="1" applyBorder="1" applyAlignment="1">
      <alignment horizontal="center"/>
    </xf>
    <xf numFmtId="0" fontId="27" fillId="0" borderId="2" xfId="3" applyFont="1" applyBorder="1" applyAlignment="1">
      <alignment horizontal="center"/>
    </xf>
    <xf numFmtId="0" fontId="27" fillId="0" borderId="3" xfId="3" applyFont="1" applyBorder="1" applyAlignment="1">
      <alignment horizontal="center"/>
    </xf>
    <xf numFmtId="0" fontId="27" fillId="0" borderId="10" xfId="3" applyFont="1" applyBorder="1" applyAlignment="1">
      <alignment horizontal="center"/>
    </xf>
    <xf numFmtId="0" fontId="27" fillId="0" borderId="11" xfId="3" applyFont="1" applyBorder="1" applyAlignment="1">
      <alignment horizontal="center"/>
    </xf>
    <xf numFmtId="0" fontId="27" fillId="0" borderId="12" xfId="3" applyFont="1" applyBorder="1" applyAlignment="1">
      <alignment horizontal="center"/>
    </xf>
    <xf numFmtId="0" fontId="27" fillId="4" borderId="2" xfId="3" applyFont="1" applyFill="1" applyBorder="1" applyAlignment="1">
      <alignment horizontal="center"/>
    </xf>
    <xf numFmtId="0" fontId="27" fillId="4" borderId="3" xfId="3" applyFont="1" applyFill="1" applyBorder="1" applyAlignment="1">
      <alignment horizontal="center"/>
    </xf>
    <xf numFmtId="0" fontId="27" fillId="4" borderId="4" xfId="3" applyFont="1" applyFill="1" applyBorder="1" applyAlignment="1">
      <alignment horizontal="center"/>
    </xf>
    <xf numFmtId="0" fontId="27" fillId="5" borderId="2" xfId="3" applyFont="1" applyFill="1" applyBorder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7" fillId="0" borderId="14" xfId="3" applyFont="1" applyFill="1" applyBorder="1" applyAlignment="1">
      <alignment horizontal="center"/>
    </xf>
    <xf numFmtId="0" fontId="27" fillId="0" borderId="8" xfId="3" applyFont="1" applyFill="1" applyBorder="1" applyAlignment="1">
      <alignment horizontal="center"/>
    </xf>
    <xf numFmtId="0" fontId="27" fillId="0" borderId="15" xfId="3" applyFont="1" applyFill="1" applyBorder="1" applyAlignment="1">
      <alignment horizontal="center"/>
    </xf>
    <xf numFmtId="168" fontId="22" fillId="0" borderId="2" xfId="0" applyNumberFormat="1" applyFont="1" applyFill="1" applyBorder="1" applyAlignment="1">
      <alignment horizontal="center"/>
    </xf>
    <xf numFmtId="168" fontId="22" fillId="0" borderId="4" xfId="0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view="pageLayout" zoomScaleNormal="100" zoomScaleSheetLayoutView="100" workbookViewId="0">
      <selection activeCell="H14" sqref="H14"/>
    </sheetView>
  </sheetViews>
  <sheetFormatPr defaultColWidth="9.1796875" defaultRowHeight="15.5" x14ac:dyDescent="0.35"/>
  <cols>
    <col min="1" max="1" width="4.26953125" style="2" customWidth="1"/>
    <col min="2" max="2" width="16.7265625" style="2" customWidth="1"/>
    <col min="3" max="3" width="18.54296875" style="2" customWidth="1"/>
    <col min="4" max="4" width="16.1796875" style="2" customWidth="1"/>
    <col min="5" max="5" width="5.54296875" style="2" customWidth="1"/>
    <col min="6" max="6" width="18" style="2" customWidth="1"/>
    <col min="7" max="7" width="5.1796875" style="2" customWidth="1"/>
    <col min="8" max="8" width="32.54296875" style="2" customWidth="1"/>
    <col min="9" max="9" width="12" style="2" bestFit="1" customWidth="1"/>
    <col min="10" max="16384" width="9.1796875" style="2"/>
  </cols>
  <sheetData>
    <row r="1" spans="1:8" ht="21" x14ac:dyDescent="0.5">
      <c r="A1" s="196" t="s">
        <v>0</v>
      </c>
    </row>
    <row r="2" spans="1:8" x14ac:dyDescent="0.35">
      <c r="A2"/>
    </row>
    <row r="3" spans="1:8" x14ac:dyDescent="0.35">
      <c r="A3" s="80"/>
    </row>
    <row r="4" spans="1:8" x14ac:dyDescent="0.35">
      <c r="A4" s="80"/>
    </row>
    <row r="5" spans="1:8" x14ac:dyDescent="0.35">
      <c r="A5" s="80"/>
    </row>
    <row r="7" spans="1:8" ht="18.5" x14ac:dyDescent="0.45">
      <c r="A7" s="1" t="s">
        <v>0</v>
      </c>
    </row>
    <row r="8" spans="1:8" ht="18.5" x14ac:dyDescent="0.45">
      <c r="A8" s="1" t="s">
        <v>1</v>
      </c>
    </row>
    <row r="9" spans="1:8" ht="18.5" x14ac:dyDescent="0.45">
      <c r="A9" s="3" t="s">
        <v>2</v>
      </c>
      <c r="C9" s="4">
        <v>44075</v>
      </c>
    </row>
    <row r="11" spans="1:8" x14ac:dyDescent="0.35">
      <c r="B11" s="5"/>
      <c r="C11" s="5"/>
      <c r="D11" s="6">
        <f>C9</f>
        <v>44075</v>
      </c>
      <c r="E11" s="7"/>
      <c r="F11" s="6">
        <f>C9</f>
        <v>44075</v>
      </c>
      <c r="G11" s="6"/>
      <c r="H11" s="7"/>
    </row>
    <row r="12" spans="1:8" x14ac:dyDescent="0.35">
      <c r="A12" s="8" t="s">
        <v>3</v>
      </c>
      <c r="B12" s="9" t="s">
        <v>4</v>
      </c>
      <c r="C12" s="9"/>
      <c r="D12" s="10" t="s">
        <v>5</v>
      </c>
      <c r="E12" s="11"/>
      <c r="F12" s="10" t="s">
        <v>6</v>
      </c>
      <c r="G12" s="10"/>
      <c r="H12" s="12"/>
    </row>
    <row r="13" spans="1:8" x14ac:dyDescent="0.35">
      <c r="A13" s="13">
        <v>1</v>
      </c>
      <c r="B13" s="12" t="s">
        <v>7</v>
      </c>
      <c r="C13" s="12"/>
      <c r="D13" s="14">
        <f>D30*0.3</f>
        <v>16413.923699999999</v>
      </c>
      <c r="E13" s="15"/>
      <c r="F13" s="14">
        <f>F30*0.3</f>
        <v>16385.231100000001</v>
      </c>
      <c r="G13" s="15"/>
      <c r="H13" s="16" t="s">
        <v>8</v>
      </c>
    </row>
    <row r="14" spans="1:8" x14ac:dyDescent="0.35">
      <c r="A14" s="13">
        <f>A13+1</f>
        <v>2</v>
      </c>
      <c r="B14" s="12" t="s">
        <v>7</v>
      </c>
      <c r="C14" s="12"/>
      <c r="D14" s="17">
        <f>IF(D30&gt;0,(D22-D30)*0.5,0)</f>
        <v>143380.20549999998</v>
      </c>
      <c r="E14" s="18"/>
      <c r="F14" s="17">
        <f>IF(F30&gt;0,(F22-F30)*0.5,0)</f>
        <v>143428.02649999998</v>
      </c>
      <c r="G14" s="18"/>
      <c r="H14" s="16" t="s">
        <v>9</v>
      </c>
    </row>
    <row r="15" spans="1:8" x14ac:dyDescent="0.35">
      <c r="A15" s="13">
        <f>A14+1</f>
        <v>3</v>
      </c>
      <c r="B15" s="19" t="s">
        <v>10</v>
      </c>
      <c r="C15" s="19"/>
      <c r="D15" s="20">
        <f>D13+D14</f>
        <v>159794.12919999997</v>
      </c>
      <c r="E15" s="21"/>
      <c r="F15" s="20">
        <f>F13+F14</f>
        <v>159813.25759999998</v>
      </c>
      <c r="G15" s="21"/>
      <c r="H15" s="22"/>
    </row>
    <row r="16" spans="1:8" x14ac:dyDescent="0.35">
      <c r="A16" s="13"/>
      <c r="B16" s="12"/>
      <c r="C16" s="12"/>
      <c r="D16" s="23"/>
      <c r="E16" s="24"/>
      <c r="F16" s="24"/>
      <c r="G16" s="24"/>
      <c r="H16" s="22"/>
    </row>
    <row r="17" spans="1:9" x14ac:dyDescent="0.35">
      <c r="A17" s="13">
        <f>A15+1</f>
        <v>4</v>
      </c>
      <c r="B17" s="12" t="s">
        <v>11</v>
      </c>
      <c r="C17" s="12"/>
      <c r="D17" s="25">
        <v>118708.75</v>
      </c>
      <c r="E17" s="26"/>
      <c r="F17" s="25">
        <v>118708.75</v>
      </c>
      <c r="G17" s="27"/>
      <c r="H17" s="28"/>
    </row>
    <row r="18" spans="1:9" x14ac:dyDescent="0.35">
      <c r="A18" s="13">
        <f>A17+1</f>
        <v>5</v>
      </c>
      <c r="B18" s="12" t="s">
        <v>12</v>
      </c>
      <c r="C18" s="12"/>
      <c r="D18" s="29">
        <v>31932.2</v>
      </c>
      <c r="E18" s="30"/>
      <c r="F18" s="25">
        <v>31932.2</v>
      </c>
      <c r="G18" s="31"/>
      <c r="H18" s="22"/>
    </row>
    <row r="19" spans="1:9" x14ac:dyDescent="0.35">
      <c r="A19" s="13">
        <f>A18+1</f>
        <v>6</v>
      </c>
      <c r="B19" s="12" t="s">
        <v>13</v>
      </c>
      <c r="C19" s="32" t="s">
        <v>14</v>
      </c>
      <c r="D19" s="29">
        <v>5270.45</v>
      </c>
      <c r="E19" s="30"/>
      <c r="F19" s="25">
        <v>5270.45</v>
      </c>
      <c r="G19" s="31"/>
      <c r="H19" s="33"/>
    </row>
    <row r="20" spans="1:9" x14ac:dyDescent="0.35">
      <c r="A20" s="13"/>
      <c r="B20" s="12"/>
      <c r="C20" s="32" t="s">
        <v>15</v>
      </c>
      <c r="D20" s="29">
        <v>185562.09</v>
      </c>
      <c r="E20" s="34" t="s">
        <v>16</v>
      </c>
      <c r="F20" s="29">
        <v>185562.09</v>
      </c>
      <c r="G20" s="31"/>
      <c r="H20" s="33"/>
    </row>
    <row r="21" spans="1:9" x14ac:dyDescent="0.35">
      <c r="A21" s="13"/>
      <c r="B21" s="12"/>
      <c r="D21" s="35"/>
      <c r="E21" s="30"/>
      <c r="F21" s="31"/>
      <c r="G21" s="31"/>
      <c r="H21" s="36"/>
    </row>
    <row r="22" spans="1:9" x14ac:dyDescent="0.35">
      <c r="A22" s="13">
        <v>7</v>
      </c>
      <c r="B22" s="12" t="s">
        <v>17</v>
      </c>
      <c r="C22" s="12"/>
      <c r="D22" s="37">
        <f>D17+D18+D19+D20</f>
        <v>341473.49</v>
      </c>
      <c r="E22" s="15"/>
      <c r="F22" s="14">
        <f>F17+F18+F19+F20</f>
        <v>341473.49</v>
      </c>
      <c r="G22" s="15"/>
      <c r="H22" s="28"/>
    </row>
    <row r="23" spans="1:9" x14ac:dyDescent="0.35">
      <c r="D23" s="38"/>
      <c r="H23" s="28"/>
    </row>
    <row r="24" spans="1:9" x14ac:dyDescent="0.35">
      <c r="A24" s="13">
        <f>A22+1</f>
        <v>8</v>
      </c>
      <c r="B24" s="12" t="s">
        <v>18</v>
      </c>
      <c r="C24" s="12"/>
      <c r="D24" s="37">
        <f>D25+D26+D27+D28</f>
        <v>2735653.95</v>
      </c>
      <c r="E24" s="31"/>
      <c r="F24" s="37">
        <f>F25+F26+F27+F28</f>
        <v>2730871.85</v>
      </c>
      <c r="G24" s="31"/>
      <c r="H24" s="39"/>
    </row>
    <row r="25" spans="1:9" x14ac:dyDescent="0.35">
      <c r="A25" s="13"/>
      <c r="B25" s="12"/>
      <c r="C25" s="12" t="s">
        <v>19</v>
      </c>
      <c r="D25" s="29">
        <f>1465363.9-19109.9</f>
        <v>1446254</v>
      </c>
      <c r="E25" s="31"/>
      <c r="F25" s="29">
        <v>1446254</v>
      </c>
      <c r="G25" s="31"/>
      <c r="H25" s="39"/>
      <c r="I25" s="39"/>
    </row>
    <row r="26" spans="1:9" x14ac:dyDescent="0.35">
      <c r="A26" s="13"/>
      <c r="B26" s="12"/>
      <c r="C26" s="12" t="s">
        <v>20</v>
      </c>
      <c r="D26" s="29">
        <v>9720</v>
      </c>
      <c r="E26" s="31" t="s">
        <v>21</v>
      </c>
      <c r="F26" s="29">
        <v>5409.6</v>
      </c>
      <c r="G26" s="31" t="s">
        <v>22</v>
      </c>
    </row>
    <row r="27" spans="1:9" x14ac:dyDescent="0.35">
      <c r="A27" s="13"/>
      <c r="B27" s="12"/>
      <c r="C27" s="12" t="s">
        <v>23</v>
      </c>
      <c r="D27" s="29">
        <v>0</v>
      </c>
      <c r="E27" s="31"/>
      <c r="F27" s="29">
        <v>0</v>
      </c>
      <c r="G27" s="31"/>
    </row>
    <row r="28" spans="1:9" x14ac:dyDescent="0.35">
      <c r="A28" s="13"/>
      <c r="B28" s="12"/>
      <c r="C28" s="12" t="s">
        <v>24</v>
      </c>
      <c r="D28" s="29">
        <v>1279679.95</v>
      </c>
      <c r="E28" s="31"/>
      <c r="F28" s="29">
        <v>1279208.25</v>
      </c>
      <c r="G28" s="31"/>
    </row>
    <row r="29" spans="1:9" x14ac:dyDescent="0.35">
      <c r="A29" s="13"/>
      <c r="B29" s="12"/>
      <c r="C29" s="12"/>
      <c r="D29" s="29"/>
      <c r="E29" s="31"/>
      <c r="F29" s="29"/>
      <c r="G29" s="31"/>
    </row>
    <row r="30" spans="1:9" x14ac:dyDescent="0.35">
      <c r="A30" s="13">
        <v>9</v>
      </c>
      <c r="B30" s="12" t="s">
        <v>25</v>
      </c>
      <c r="C30" s="12"/>
      <c r="D30" s="28">
        <f>IF((D22/D24)&gt;=0.02,0.02*D24,D22)</f>
        <v>54713.079000000005</v>
      </c>
      <c r="E30" s="40"/>
      <c r="F30" s="28">
        <f>IF((F22/F24)&gt;=0.02,0.02*F24,F22)</f>
        <v>54617.437000000005</v>
      </c>
      <c r="G30" s="40"/>
      <c r="H30" s="12"/>
    </row>
    <row r="31" spans="1:9" x14ac:dyDescent="0.35">
      <c r="A31" s="13"/>
      <c r="B31" s="12"/>
      <c r="C31" s="12"/>
      <c r="D31" s="40"/>
      <c r="E31" s="40"/>
      <c r="F31" s="40"/>
      <c r="G31" s="40"/>
      <c r="H31" s="12"/>
    </row>
    <row r="32" spans="1:9" x14ac:dyDescent="0.35">
      <c r="A32" s="13">
        <f>A30+1</f>
        <v>10</v>
      </c>
      <c r="B32" s="12" t="s">
        <v>26</v>
      </c>
      <c r="C32" s="12"/>
      <c r="D32" s="41">
        <f>(D17+D18+D19+D20)/D24</f>
        <v>0.12482334982463698</v>
      </c>
      <c r="E32" s="41"/>
      <c r="F32" s="41">
        <f>(F17+F18+F19+F20)/F24</f>
        <v>0.12504193120596266</v>
      </c>
      <c r="G32" s="41"/>
      <c r="H32" s="12"/>
    </row>
    <row r="33" spans="1:8" x14ac:dyDescent="0.35">
      <c r="B33" s="12"/>
      <c r="C33" s="12"/>
      <c r="D33" s="41"/>
      <c r="E33" s="41"/>
      <c r="F33" s="41"/>
      <c r="G33" s="41"/>
      <c r="H33" s="12"/>
    </row>
    <row r="34" spans="1:8" x14ac:dyDescent="0.35">
      <c r="B34" s="12"/>
      <c r="C34" s="12"/>
      <c r="D34" s="41"/>
      <c r="E34" s="41"/>
      <c r="F34" s="41"/>
      <c r="G34" s="41"/>
      <c r="H34" s="12"/>
    </row>
    <row r="35" spans="1:8" x14ac:dyDescent="0.35">
      <c r="A35" s="197" t="s">
        <v>27</v>
      </c>
      <c r="B35" s="197"/>
      <c r="C35" s="42"/>
    </row>
    <row r="36" spans="1:8" ht="15.75" customHeight="1" x14ac:dyDescent="0.35">
      <c r="A36" s="43" t="s">
        <v>28</v>
      </c>
      <c r="B36" s="44"/>
      <c r="C36" s="44"/>
      <c r="D36" s="45" t="s">
        <v>29</v>
      </c>
    </row>
    <row r="37" spans="1:8" ht="15.75" customHeight="1" x14ac:dyDescent="0.35">
      <c r="A37" s="43" t="s">
        <v>30</v>
      </c>
      <c r="B37" s="43"/>
      <c r="C37" s="44"/>
    </row>
    <row r="38" spans="1:8" ht="15" customHeight="1" x14ac:dyDescent="0.35">
      <c r="A38" s="43" t="s">
        <v>31</v>
      </c>
      <c r="B38" s="43"/>
      <c r="C38" s="44"/>
    </row>
    <row r="39" spans="1:8" ht="15.75" customHeight="1" x14ac:dyDescent="0.35">
      <c r="A39" s="43" t="s">
        <v>32</v>
      </c>
      <c r="B39" s="43"/>
      <c r="C39" s="44"/>
    </row>
    <row r="40" spans="1:8" ht="15.75" customHeight="1" x14ac:dyDescent="0.35">
      <c r="A40" s="43" t="s">
        <v>33</v>
      </c>
      <c r="B40" s="43"/>
      <c r="C40" s="44"/>
    </row>
    <row r="41" spans="1:8" ht="15.75" customHeight="1" x14ac:dyDescent="0.35">
      <c r="A41" s="43" t="s">
        <v>34</v>
      </c>
      <c r="B41" s="43"/>
      <c r="C41" s="44"/>
    </row>
    <row r="42" spans="1:8" ht="15.75" customHeight="1" x14ac:dyDescent="0.35">
      <c r="A42" s="43" t="s">
        <v>35</v>
      </c>
      <c r="B42" s="43"/>
      <c r="C42" s="44"/>
    </row>
    <row r="43" spans="1:8" ht="15.75" customHeight="1" x14ac:dyDescent="0.35">
      <c r="A43" s="43" t="s">
        <v>36</v>
      </c>
      <c r="B43" s="43"/>
      <c r="C43" s="44"/>
    </row>
    <row r="45" spans="1:8" x14ac:dyDescent="0.35">
      <c r="A45" s="46" t="s">
        <v>37</v>
      </c>
    </row>
    <row r="47" spans="1:8" x14ac:dyDescent="0.35">
      <c r="A47" s="47"/>
    </row>
    <row r="48" spans="1:8" x14ac:dyDescent="0.35">
      <c r="A48" s="47"/>
    </row>
    <row r="49" spans="1:1" x14ac:dyDescent="0.35">
      <c r="A49" s="47"/>
    </row>
  </sheetData>
  <mergeCells count="1">
    <mergeCell ref="A35:B35"/>
  </mergeCells>
  <pageMargins left="0.25" right="0.25" top="0.75" bottom="0.75" header="0.3" footer="0.3"/>
  <pageSetup scale="86" orientation="portrait" r:id="rId1"/>
  <headerFooter>
    <oddHeader xml:space="preserve">&amp;RKY PSC CN 2020-00378  
 Staff's Data Request Set 1 No. 5 Attachment D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zoomScaleSheetLayoutView="100" workbookViewId="0">
      <selection activeCell="H3" sqref="H3"/>
    </sheetView>
  </sheetViews>
  <sheetFormatPr defaultColWidth="9.1796875" defaultRowHeight="15.5" x14ac:dyDescent="0.35"/>
  <cols>
    <col min="1" max="1" width="4.26953125" style="2" customWidth="1"/>
    <col min="2" max="2" width="16.7265625" style="2" customWidth="1"/>
    <col min="3" max="3" width="18.54296875" style="2" customWidth="1"/>
    <col min="4" max="4" width="16.1796875" style="2" customWidth="1"/>
    <col min="5" max="5" width="5.54296875" style="2" customWidth="1"/>
    <col min="6" max="6" width="18" style="2" customWidth="1"/>
    <col min="7" max="7" width="5.1796875" style="2" customWidth="1"/>
    <col min="8" max="8" width="32.54296875" style="2" customWidth="1"/>
    <col min="9" max="9" width="12" style="2" bestFit="1" customWidth="1"/>
    <col min="10" max="16384" width="9.1796875" style="2"/>
  </cols>
  <sheetData>
    <row r="1" spans="1:8" ht="18.5" x14ac:dyDescent="0.45">
      <c r="A1" s="1" t="s">
        <v>0</v>
      </c>
    </row>
    <row r="2" spans="1:8" ht="18.5" x14ac:dyDescent="0.45">
      <c r="A2" s="1" t="s">
        <v>1</v>
      </c>
    </row>
    <row r="3" spans="1:8" ht="18.5" x14ac:dyDescent="0.45">
      <c r="A3" s="3" t="s">
        <v>2</v>
      </c>
      <c r="C3" s="4">
        <v>44166</v>
      </c>
    </row>
    <row r="5" spans="1:8" x14ac:dyDescent="0.35">
      <c r="B5" s="5"/>
      <c r="C5" s="5"/>
      <c r="D5" s="6">
        <f>C3</f>
        <v>44166</v>
      </c>
      <c r="E5" s="7"/>
      <c r="F5" s="6">
        <f>C3</f>
        <v>44166</v>
      </c>
      <c r="G5" s="6"/>
      <c r="H5" s="7"/>
    </row>
    <row r="6" spans="1:8" x14ac:dyDescent="0.35">
      <c r="A6" s="8" t="s">
        <v>3</v>
      </c>
      <c r="B6" s="9" t="s">
        <v>4</v>
      </c>
      <c r="C6" s="9"/>
      <c r="D6" s="10" t="s">
        <v>5</v>
      </c>
      <c r="E6" s="11"/>
      <c r="F6" s="10" t="s">
        <v>6</v>
      </c>
      <c r="G6" s="10"/>
      <c r="H6" s="12"/>
    </row>
    <row r="7" spans="1:8" x14ac:dyDescent="0.35">
      <c r="A7" s="13">
        <v>1</v>
      </c>
      <c r="B7" s="12" t="s">
        <v>7</v>
      </c>
      <c r="C7" s="12"/>
      <c r="D7" s="14">
        <f>D24*0.3</f>
        <v>19596.974819999996</v>
      </c>
      <c r="E7" s="15"/>
      <c r="F7" s="14">
        <f>F24*0.3</f>
        <v>19575.392339999999</v>
      </c>
      <c r="G7" s="15"/>
      <c r="H7" s="16" t="s">
        <v>8</v>
      </c>
    </row>
    <row r="8" spans="1:8" x14ac:dyDescent="0.35">
      <c r="A8" s="13">
        <f>A7+1</f>
        <v>2</v>
      </c>
      <c r="B8" s="12" t="s">
        <v>7</v>
      </c>
      <c r="C8" s="12"/>
      <c r="D8" s="17">
        <f>IF(D24&gt;0,(D16-D24)*0.5,0)</f>
        <v>244092.97529999999</v>
      </c>
      <c r="E8" s="18"/>
      <c r="F8" s="17">
        <f>IF(F24&gt;0,(F16-F24)*0.5,0)</f>
        <v>244128.94609999997</v>
      </c>
      <c r="G8" s="18"/>
      <c r="H8" s="16" t="s">
        <v>9</v>
      </c>
    </row>
    <row r="9" spans="1:8" x14ac:dyDescent="0.35">
      <c r="A9" s="13">
        <f>A8+1</f>
        <v>3</v>
      </c>
      <c r="B9" s="19" t="s">
        <v>10</v>
      </c>
      <c r="C9" s="19"/>
      <c r="D9" s="20">
        <f>D7+D8</f>
        <v>263689.95011999999</v>
      </c>
      <c r="E9" s="21"/>
      <c r="F9" s="20">
        <f>F7+F8</f>
        <v>263704.33843999996</v>
      </c>
      <c r="G9" s="21"/>
      <c r="H9" s="22"/>
    </row>
    <row r="10" spans="1:8" x14ac:dyDescent="0.35">
      <c r="A10" s="13"/>
      <c r="B10" s="12"/>
      <c r="C10" s="12"/>
      <c r="D10" s="23"/>
      <c r="E10" s="24"/>
      <c r="F10" s="24"/>
      <c r="G10" s="24"/>
      <c r="H10" s="22"/>
    </row>
    <row r="11" spans="1:8" x14ac:dyDescent="0.35">
      <c r="A11" s="13">
        <f>A9+1</f>
        <v>4</v>
      </c>
      <c r="B11" s="12" t="s">
        <v>11</v>
      </c>
      <c r="C11" s="12"/>
      <c r="D11" s="25">
        <v>334175.74</v>
      </c>
      <c r="E11" s="26"/>
      <c r="F11" s="25">
        <v>334175.74</v>
      </c>
      <c r="G11" s="27"/>
      <c r="H11" s="22"/>
    </row>
    <row r="12" spans="1:8" x14ac:dyDescent="0.35">
      <c r="A12" s="13">
        <f>A11+1</f>
        <v>5</v>
      </c>
      <c r="B12" s="12" t="s">
        <v>12</v>
      </c>
      <c r="C12" s="12"/>
      <c r="D12" s="29">
        <v>20363.87</v>
      </c>
      <c r="E12" s="30"/>
      <c r="F12" s="25">
        <v>20363.87</v>
      </c>
      <c r="G12" s="31"/>
      <c r="H12" s="22"/>
    </row>
    <row r="13" spans="1:8" x14ac:dyDescent="0.35">
      <c r="A13" s="13">
        <f>A12+1</f>
        <v>6</v>
      </c>
      <c r="B13" s="12" t="s">
        <v>13</v>
      </c>
      <c r="C13" s="32" t="s">
        <v>14</v>
      </c>
      <c r="D13" s="29">
        <v>0</v>
      </c>
      <c r="E13" s="30"/>
      <c r="F13" s="25">
        <v>0</v>
      </c>
      <c r="G13" s="31"/>
      <c r="H13" s="33"/>
    </row>
    <row r="14" spans="1:8" x14ac:dyDescent="0.35">
      <c r="A14" s="13"/>
      <c r="B14" s="12"/>
      <c r="C14" s="32" t="s">
        <v>15</v>
      </c>
      <c r="D14" s="29">
        <v>198969.59</v>
      </c>
      <c r="E14" s="34" t="s">
        <v>16</v>
      </c>
      <c r="F14" s="29">
        <v>198969.59</v>
      </c>
      <c r="G14" s="31"/>
      <c r="H14" s="33"/>
    </row>
    <row r="15" spans="1:8" x14ac:dyDescent="0.35">
      <c r="A15" s="13"/>
      <c r="B15" s="12"/>
      <c r="D15" s="35"/>
      <c r="E15" s="30"/>
      <c r="F15" s="31"/>
      <c r="G15" s="31"/>
      <c r="H15" s="36"/>
    </row>
    <row r="16" spans="1:8" x14ac:dyDescent="0.35">
      <c r="A16" s="13">
        <v>7</v>
      </c>
      <c r="B16" s="12" t="s">
        <v>17</v>
      </c>
      <c r="C16" s="12"/>
      <c r="D16" s="37">
        <f>D11+D12+D13+D14</f>
        <v>553509.19999999995</v>
      </c>
      <c r="E16" s="15"/>
      <c r="F16" s="14">
        <f>F11+F12+F13+F14</f>
        <v>553509.19999999995</v>
      </c>
      <c r="G16" s="15"/>
      <c r="H16" s="28"/>
    </row>
    <row r="17" spans="1:9" x14ac:dyDescent="0.35">
      <c r="D17" s="38"/>
      <c r="H17" s="28"/>
    </row>
    <row r="18" spans="1:9" x14ac:dyDescent="0.35">
      <c r="A18" s="13">
        <f>A16+1</f>
        <v>8</v>
      </c>
      <c r="B18" s="12" t="s">
        <v>18</v>
      </c>
      <c r="C18" s="12"/>
      <c r="D18" s="37">
        <f>D19+D20+D21+D22</f>
        <v>3266162.4699999997</v>
      </c>
      <c r="E18" s="31"/>
      <c r="F18" s="37">
        <f>F19+F20+F21+F22</f>
        <v>3262565.39</v>
      </c>
      <c r="G18" s="31"/>
      <c r="H18" s="39"/>
    </row>
    <row r="19" spans="1:9" x14ac:dyDescent="0.35">
      <c r="A19" s="13"/>
      <c r="B19" s="12"/>
      <c r="C19" s="12" t="s">
        <v>19</v>
      </c>
      <c r="D19" s="29">
        <f>1782858.3-175787.5</f>
        <v>1607070.8</v>
      </c>
      <c r="E19" s="31"/>
      <c r="F19" s="29">
        <f>1608669.7-1598.9</f>
        <v>1607070.8</v>
      </c>
      <c r="G19" s="31"/>
      <c r="H19" s="39"/>
      <c r="I19" s="39"/>
    </row>
    <row r="20" spans="1:9" x14ac:dyDescent="0.35">
      <c r="A20" s="13"/>
      <c r="B20" s="12"/>
      <c r="C20" s="12" t="s">
        <v>20</v>
      </c>
      <c r="D20" s="29">
        <v>101447.5</v>
      </c>
      <c r="E20" s="31" t="s">
        <v>21</v>
      </c>
      <c r="F20" s="29">
        <v>101447.5</v>
      </c>
      <c r="G20" s="31" t="s">
        <v>21</v>
      </c>
      <c r="H20" s="2" t="s">
        <v>115</v>
      </c>
    </row>
    <row r="21" spans="1:9" x14ac:dyDescent="0.35">
      <c r="A21" s="13"/>
      <c r="B21" s="12"/>
      <c r="C21" s="12" t="s">
        <v>23</v>
      </c>
      <c r="D21" s="29">
        <v>0</v>
      </c>
      <c r="E21" s="31"/>
      <c r="F21" s="29">
        <v>0</v>
      </c>
      <c r="G21" s="31"/>
    </row>
    <row r="22" spans="1:9" x14ac:dyDescent="0.35">
      <c r="A22" s="13"/>
      <c r="B22" s="12"/>
      <c r="C22" s="12" t="s">
        <v>24</v>
      </c>
      <c r="D22" s="29">
        <v>1557644.17</v>
      </c>
      <c r="E22" s="31"/>
      <c r="F22" s="29">
        <v>1554047.09</v>
      </c>
      <c r="G22" s="31"/>
    </row>
    <row r="23" spans="1:9" x14ac:dyDescent="0.35">
      <c r="A23" s="13"/>
      <c r="B23" s="12"/>
      <c r="C23" s="12"/>
      <c r="D23" s="29"/>
      <c r="E23" s="31"/>
      <c r="F23" s="29"/>
      <c r="G23" s="31"/>
    </row>
    <row r="24" spans="1:9" x14ac:dyDescent="0.35">
      <c r="A24" s="13">
        <v>9</v>
      </c>
      <c r="B24" s="12" t="s">
        <v>25</v>
      </c>
      <c r="C24" s="12"/>
      <c r="D24" s="28">
        <f>IF((D16/D18)&gt;=0.02,0.02*D18,D16)</f>
        <v>65323.249399999993</v>
      </c>
      <c r="E24" s="40"/>
      <c r="F24" s="28">
        <f>IF((F16/F18)&gt;=0.02,0.02*F18,F16)</f>
        <v>65251.307800000002</v>
      </c>
      <c r="G24" s="40"/>
      <c r="H24" s="12"/>
    </row>
    <row r="25" spans="1:9" x14ac:dyDescent="0.35">
      <c r="A25" s="13"/>
      <c r="B25" s="12"/>
      <c r="C25" s="12"/>
      <c r="D25" s="40"/>
      <c r="E25" s="40"/>
      <c r="F25" s="40"/>
      <c r="G25" s="40"/>
      <c r="H25" s="12"/>
    </row>
    <row r="26" spans="1:9" x14ac:dyDescent="0.35">
      <c r="A26" s="13">
        <f>A24+1</f>
        <v>10</v>
      </c>
      <c r="B26" s="12" t="s">
        <v>26</v>
      </c>
      <c r="C26" s="12"/>
      <c r="D26" s="41">
        <f>(D11+D12+D13+D14)/D18</f>
        <v>0.16946774849200935</v>
      </c>
      <c r="E26" s="41"/>
      <c r="F26" s="41">
        <f>(F11+F12+F13+F14)/F18</f>
        <v>0.16965459196512839</v>
      </c>
      <c r="G26" s="41"/>
      <c r="H26" s="12"/>
    </row>
    <row r="27" spans="1:9" x14ac:dyDescent="0.35">
      <c r="B27" s="12"/>
      <c r="C27" s="12"/>
      <c r="D27" s="41"/>
      <c r="E27" s="41"/>
      <c r="F27" s="41"/>
      <c r="G27" s="41"/>
      <c r="H27" s="12"/>
    </row>
    <row r="28" spans="1:9" x14ac:dyDescent="0.35">
      <c r="B28" s="12"/>
      <c r="C28" s="12"/>
      <c r="D28" s="41"/>
      <c r="E28" s="41"/>
      <c r="F28" s="41"/>
      <c r="G28" s="41"/>
      <c r="H28" s="12"/>
    </row>
    <row r="29" spans="1:9" x14ac:dyDescent="0.35">
      <c r="A29" s="197" t="s">
        <v>27</v>
      </c>
      <c r="B29" s="197"/>
      <c r="C29" s="42"/>
    </row>
    <row r="30" spans="1:9" ht="15.75" customHeight="1" x14ac:dyDescent="0.35">
      <c r="A30" s="43" t="s">
        <v>28</v>
      </c>
      <c r="B30" s="44"/>
      <c r="C30" s="44"/>
      <c r="D30" s="45" t="s">
        <v>29</v>
      </c>
    </row>
    <row r="31" spans="1:9" ht="15.75" customHeight="1" x14ac:dyDescent="0.35">
      <c r="A31" s="43" t="s">
        <v>30</v>
      </c>
      <c r="B31" s="43"/>
      <c r="C31" s="44"/>
    </row>
    <row r="32" spans="1:9" ht="15" customHeight="1" x14ac:dyDescent="0.35">
      <c r="A32" s="43" t="s">
        <v>31</v>
      </c>
      <c r="B32" s="43"/>
      <c r="C32" s="44"/>
    </row>
    <row r="33" spans="1:3" ht="15.75" customHeight="1" x14ac:dyDescent="0.35">
      <c r="A33" s="43" t="s">
        <v>32</v>
      </c>
      <c r="B33" s="43"/>
      <c r="C33" s="44"/>
    </row>
    <row r="34" spans="1:3" ht="15.75" customHeight="1" x14ac:dyDescent="0.35">
      <c r="A34" s="43" t="s">
        <v>33</v>
      </c>
      <c r="B34" s="43"/>
      <c r="C34" s="44"/>
    </row>
    <row r="35" spans="1:3" ht="15.75" customHeight="1" x14ac:dyDescent="0.35">
      <c r="A35" s="43" t="s">
        <v>34</v>
      </c>
      <c r="B35" s="43"/>
      <c r="C35" s="44"/>
    </row>
    <row r="36" spans="1:3" ht="15.75" customHeight="1" x14ac:dyDescent="0.35">
      <c r="A36" s="43" t="s">
        <v>35</v>
      </c>
      <c r="B36" s="43"/>
      <c r="C36" s="44"/>
    </row>
    <row r="37" spans="1:3" ht="15.75" customHeight="1" x14ac:dyDescent="0.35">
      <c r="A37" s="43" t="s">
        <v>36</v>
      </c>
      <c r="B37" s="43"/>
      <c r="C37" s="44"/>
    </row>
    <row r="39" spans="1:3" x14ac:dyDescent="0.35">
      <c r="A39" s="46" t="s">
        <v>37</v>
      </c>
    </row>
    <row r="41" spans="1:3" x14ac:dyDescent="0.35">
      <c r="A41" s="47"/>
    </row>
    <row r="42" spans="1:3" x14ac:dyDescent="0.35">
      <c r="A42" s="47"/>
    </row>
    <row r="43" spans="1:3" x14ac:dyDescent="0.35">
      <c r="A43" s="47"/>
    </row>
  </sheetData>
  <mergeCells count="1">
    <mergeCell ref="A29:B29"/>
  </mergeCells>
  <pageMargins left="0.25" right="0.25" top="0.75" bottom="0.75" header="0.3" footer="0.3"/>
  <pageSetup scale="86" orientation="portrait" r:id="rId1"/>
  <headerFooter>
    <oddHeader xml:space="preserve">&amp;RKY PSC CN 2020-00378  
 Staff's Data Request Set 1 No. 5 Attachment D 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Layout" topLeftCell="C1" zoomScaleNormal="100" workbookViewId="0">
      <selection activeCell="L2" sqref="L2"/>
    </sheetView>
  </sheetViews>
  <sheetFormatPr defaultRowHeight="14.5" x14ac:dyDescent="0.35"/>
  <cols>
    <col min="1" max="1" width="15.26953125" customWidth="1"/>
    <col min="2" max="2" width="14.81640625" style="48" customWidth="1"/>
    <col min="3" max="3" width="9.26953125" style="48" customWidth="1"/>
    <col min="4" max="4" width="9.81640625" style="48" customWidth="1"/>
    <col min="5" max="5" width="7.81640625" style="48" customWidth="1"/>
    <col min="6" max="6" width="9.7265625" style="48" customWidth="1"/>
    <col min="7" max="7" width="10" style="49" customWidth="1"/>
    <col min="8" max="8" width="23.54296875" customWidth="1"/>
    <col min="9" max="9" width="1.453125" customWidth="1"/>
    <col min="10" max="10" width="15.26953125" style="50" customWidth="1"/>
    <col min="11" max="11" width="4.1796875" style="50" bestFit="1" customWidth="1"/>
    <col min="12" max="12" width="22.453125" customWidth="1"/>
    <col min="14" max="14" width="16" customWidth="1"/>
    <col min="15" max="15" width="12.81640625" customWidth="1"/>
    <col min="16" max="16" width="11.81640625" bestFit="1" customWidth="1"/>
  </cols>
  <sheetData>
    <row r="1" spans="1:14" ht="18.5" x14ac:dyDescent="0.45">
      <c r="A1" s="1" t="s">
        <v>38</v>
      </c>
    </row>
    <row r="2" spans="1:14" ht="18.5" x14ac:dyDescent="0.45">
      <c r="A2" s="1"/>
    </row>
    <row r="3" spans="1:14" ht="18.5" x14ac:dyDescent="0.45">
      <c r="A3" s="1" t="s">
        <v>39</v>
      </c>
      <c r="B3" s="51">
        <f>'December 20 TCPS CALC'!C3</f>
        <v>44166</v>
      </c>
      <c r="C3" s="52"/>
    </row>
    <row r="5" spans="1:14" x14ac:dyDescent="0.35">
      <c r="D5" s="53" t="s">
        <v>40</v>
      </c>
      <c r="E5" s="53" t="s">
        <v>41</v>
      </c>
    </row>
    <row r="6" spans="1:14" x14ac:dyDescent="0.35">
      <c r="C6" s="54" t="s">
        <v>42</v>
      </c>
      <c r="D6" s="54" t="s">
        <v>43</v>
      </c>
      <c r="E6" s="54" t="s">
        <v>44</v>
      </c>
      <c r="F6" s="54" t="s">
        <v>45</v>
      </c>
      <c r="G6" s="55" t="s">
        <v>46</v>
      </c>
      <c r="H6" s="54" t="s">
        <v>47</v>
      </c>
      <c r="J6" s="56" t="s">
        <v>48</v>
      </c>
      <c r="K6" s="56"/>
      <c r="L6" s="56" t="s">
        <v>49</v>
      </c>
    </row>
    <row r="7" spans="1:14" x14ac:dyDescent="0.35">
      <c r="A7" t="s">
        <v>50</v>
      </c>
      <c r="B7" s="48" t="s">
        <v>51</v>
      </c>
      <c r="C7" s="48" t="s">
        <v>52</v>
      </c>
      <c r="D7" s="48">
        <v>352234</v>
      </c>
      <c r="E7" s="48" t="s">
        <v>53</v>
      </c>
      <c r="F7" s="57">
        <v>16000</v>
      </c>
      <c r="G7" s="58">
        <v>4.5805999999999996</v>
      </c>
      <c r="H7" s="59" t="s">
        <v>54</v>
      </c>
      <c r="J7" s="50">
        <f>F7*G7</f>
        <v>73289.599999999991</v>
      </c>
      <c r="K7" s="60"/>
      <c r="L7" s="50">
        <f>F7*G7</f>
        <v>73289.599999999991</v>
      </c>
      <c r="M7" s="61"/>
      <c r="N7" s="50"/>
    </row>
    <row r="8" spans="1:14" x14ac:dyDescent="0.35">
      <c r="C8" s="48" t="s">
        <v>55</v>
      </c>
      <c r="D8" s="48">
        <v>80160</v>
      </c>
      <c r="E8" s="48" t="s">
        <v>56</v>
      </c>
      <c r="F8" s="57">
        <v>209880</v>
      </c>
      <c r="G8" s="195">
        <v>4.8621999999999996</v>
      </c>
      <c r="H8" s="59" t="s">
        <v>54</v>
      </c>
      <c r="J8" s="62">
        <f>F8*G8</f>
        <v>1020478.536</v>
      </c>
      <c r="K8" s="63"/>
      <c r="L8" s="50">
        <f>F8*G8</f>
        <v>1020478.536</v>
      </c>
      <c r="N8" s="50"/>
    </row>
    <row r="9" spans="1:14" x14ac:dyDescent="0.35">
      <c r="F9" s="57"/>
      <c r="G9" s="58"/>
      <c r="H9" s="64" t="s">
        <v>57</v>
      </c>
      <c r="I9" s="65"/>
      <c r="J9" s="66">
        <f>SUM(J7:J8)</f>
        <v>1093768.1359999999</v>
      </c>
      <c r="K9" s="67"/>
      <c r="L9" s="66">
        <f>SUM(L7:L8)</f>
        <v>1093768.1359999999</v>
      </c>
    </row>
    <row r="10" spans="1:14" x14ac:dyDescent="0.35">
      <c r="D10" s="48">
        <v>0</v>
      </c>
      <c r="F10" s="57"/>
      <c r="G10" s="58"/>
      <c r="H10" s="59"/>
      <c r="K10" s="68"/>
      <c r="L10" s="50"/>
    </row>
    <row r="11" spans="1:14" x14ac:dyDescent="0.35">
      <c r="D11" s="48">
        <v>0</v>
      </c>
      <c r="F11" s="69"/>
      <c r="G11" s="70" t="s">
        <v>58</v>
      </c>
      <c r="H11" s="59"/>
      <c r="K11" s="68"/>
      <c r="L11" s="50"/>
    </row>
    <row r="12" spans="1:14" x14ac:dyDescent="0.35">
      <c r="A12" t="s">
        <v>59</v>
      </c>
      <c r="B12" s="48" t="s">
        <v>60</v>
      </c>
      <c r="C12" s="48" t="s">
        <v>52</v>
      </c>
      <c r="D12" s="48">
        <v>352234</v>
      </c>
      <c r="E12" s="48" t="s">
        <v>53</v>
      </c>
      <c r="F12" s="57">
        <v>16000</v>
      </c>
      <c r="G12" s="58">
        <v>4.5805999999999996</v>
      </c>
      <c r="H12" s="59" t="s">
        <v>61</v>
      </c>
      <c r="J12" s="50">
        <f>F12*G12</f>
        <v>73289.599999999991</v>
      </c>
      <c r="K12" s="60"/>
      <c r="L12" s="71">
        <f>F12*G12</f>
        <v>73289.599999999991</v>
      </c>
      <c r="N12" s="50"/>
    </row>
    <row r="13" spans="1:14" x14ac:dyDescent="0.35">
      <c r="C13" s="48" t="s">
        <v>55</v>
      </c>
      <c r="D13" s="48">
        <v>80160</v>
      </c>
      <c r="E13" s="48" t="s">
        <v>56</v>
      </c>
      <c r="F13" s="57">
        <v>209880</v>
      </c>
      <c r="G13" s="58">
        <v>4.1849999999999996</v>
      </c>
      <c r="H13" s="59" t="s">
        <v>61</v>
      </c>
      <c r="J13" s="62">
        <f>F13*G13</f>
        <v>878347.79999999993</v>
      </c>
      <c r="K13" s="63"/>
      <c r="L13" s="71">
        <f>F13*G13</f>
        <v>878347.79999999993</v>
      </c>
      <c r="N13" s="50"/>
    </row>
    <row r="14" spans="1:14" x14ac:dyDescent="0.35">
      <c r="F14" s="57"/>
      <c r="G14" s="58"/>
      <c r="H14" s="72" t="s">
        <v>62</v>
      </c>
      <c r="I14" s="73"/>
      <c r="J14" s="66">
        <f>SUM(J12:J13)</f>
        <v>951637.39999999991</v>
      </c>
      <c r="K14" s="74"/>
      <c r="L14" s="75">
        <f>SUM(L12:L13)</f>
        <v>951637.39999999991</v>
      </c>
      <c r="N14" s="50"/>
    </row>
    <row r="15" spans="1:14" x14ac:dyDescent="0.35">
      <c r="A15" s="76"/>
      <c r="C15" s="53"/>
      <c r="D15" s="53"/>
      <c r="E15" s="53"/>
      <c r="F15" s="77"/>
      <c r="G15" s="78"/>
      <c r="H15" s="79"/>
      <c r="I15" s="80"/>
      <c r="J15" s="81"/>
      <c r="K15" s="62"/>
      <c r="L15" s="81"/>
      <c r="N15" s="50"/>
    </row>
    <row r="16" spans="1:14" x14ac:dyDescent="0.35">
      <c r="F16" s="198" t="s">
        <v>63</v>
      </c>
      <c r="G16" s="198"/>
      <c r="H16" s="198"/>
      <c r="J16" s="82">
        <f>J9-J14</f>
        <v>142130.73600000003</v>
      </c>
      <c r="K16" s="82"/>
      <c r="L16" s="82">
        <f>L9-L14</f>
        <v>142130.73600000003</v>
      </c>
    </row>
    <row r="17" spans="1:16" x14ac:dyDescent="0.35">
      <c r="H17" s="59"/>
      <c r="L17" s="50"/>
    </row>
    <row r="18" spans="1:16" x14ac:dyDescent="0.35">
      <c r="A18" s="80" t="s">
        <v>64</v>
      </c>
      <c r="C18" s="53" t="s">
        <v>55</v>
      </c>
      <c r="D18" s="53" t="s">
        <v>56</v>
      </c>
      <c r="F18" s="57">
        <v>20000</v>
      </c>
      <c r="G18" s="58">
        <v>3.1</v>
      </c>
      <c r="H18" s="59"/>
      <c r="J18" s="62">
        <v>62000</v>
      </c>
      <c r="L18" s="62">
        <v>62000</v>
      </c>
    </row>
    <row r="19" spans="1:16" x14ac:dyDescent="0.35">
      <c r="A19" s="80" t="s">
        <v>64</v>
      </c>
      <c r="C19" s="53" t="s">
        <v>55</v>
      </c>
      <c r="D19" s="53" t="s">
        <v>56</v>
      </c>
      <c r="F19" s="57">
        <v>20000</v>
      </c>
      <c r="G19" s="58">
        <v>4.4950000000000001</v>
      </c>
      <c r="H19" s="59"/>
      <c r="J19" s="62">
        <v>89900</v>
      </c>
      <c r="L19" s="62">
        <v>89900</v>
      </c>
    </row>
    <row r="20" spans="1:16" x14ac:dyDescent="0.35">
      <c r="A20" s="80" t="s">
        <v>64</v>
      </c>
      <c r="C20" s="53" t="s">
        <v>55</v>
      </c>
      <c r="D20" s="53" t="s">
        <v>56</v>
      </c>
      <c r="F20" s="57">
        <v>5000</v>
      </c>
      <c r="G20" s="58">
        <v>3.2549999999999999</v>
      </c>
      <c r="H20" s="59"/>
      <c r="J20" s="62">
        <v>16275</v>
      </c>
      <c r="L20" s="62">
        <v>16275</v>
      </c>
    </row>
    <row r="21" spans="1:16" x14ac:dyDescent="0.35">
      <c r="A21" s="80" t="s">
        <v>64</v>
      </c>
      <c r="C21" s="53" t="s">
        <v>55</v>
      </c>
      <c r="D21" s="53" t="s">
        <v>56</v>
      </c>
      <c r="F21" s="57">
        <v>0</v>
      </c>
      <c r="G21" s="58">
        <v>0</v>
      </c>
      <c r="H21" s="59"/>
      <c r="J21" s="62">
        <v>23870</v>
      </c>
      <c r="L21" s="62">
        <v>23870</v>
      </c>
    </row>
    <row r="22" spans="1:16" x14ac:dyDescent="0.35">
      <c r="A22" s="80" t="s">
        <v>64</v>
      </c>
      <c r="C22" s="53" t="s">
        <v>55</v>
      </c>
      <c r="D22" s="53" t="s">
        <v>56</v>
      </c>
      <c r="F22" s="57">
        <v>0</v>
      </c>
      <c r="G22" s="58">
        <v>0</v>
      </c>
      <c r="H22" s="59"/>
      <c r="J22" s="62">
        <v>0</v>
      </c>
      <c r="L22" s="62">
        <v>0</v>
      </c>
    </row>
    <row r="23" spans="1:16" x14ac:dyDescent="0.35">
      <c r="A23" s="80" t="s">
        <v>64</v>
      </c>
      <c r="C23" s="53" t="s">
        <v>55</v>
      </c>
      <c r="D23" s="53" t="s">
        <v>56</v>
      </c>
      <c r="F23" s="57">
        <v>0</v>
      </c>
      <c r="G23" s="58">
        <v>0</v>
      </c>
      <c r="H23" s="59"/>
      <c r="J23" s="62">
        <v>0</v>
      </c>
      <c r="L23" s="62">
        <v>0</v>
      </c>
    </row>
    <row r="24" spans="1:16" x14ac:dyDescent="0.35">
      <c r="H24" s="59"/>
      <c r="L24" s="50"/>
    </row>
    <row r="25" spans="1:16" x14ac:dyDescent="0.35">
      <c r="F25" s="198" t="s">
        <v>68</v>
      </c>
      <c r="G25" s="198"/>
      <c r="H25" s="198"/>
      <c r="J25" s="82">
        <f>SUM(J18:J24)</f>
        <v>192045</v>
      </c>
      <c r="L25" s="82">
        <f>SUM(L18:L24)</f>
        <v>192045</v>
      </c>
    </row>
    <row r="26" spans="1:16" x14ac:dyDescent="0.35">
      <c r="H26" s="59"/>
      <c r="L26" s="50"/>
    </row>
    <row r="27" spans="1:16" x14ac:dyDescent="0.35">
      <c r="H27" s="79" t="s">
        <v>69</v>
      </c>
      <c r="J27" s="83">
        <f>J16+J25</f>
        <v>334175.73600000003</v>
      </c>
      <c r="K27" s="84"/>
      <c r="L27" s="83">
        <f>L16+L25</f>
        <v>334175.73600000003</v>
      </c>
      <c r="N27" s="50"/>
      <c r="O27" s="50"/>
      <c r="P27" s="50"/>
    </row>
    <row r="29" spans="1:16" x14ac:dyDescent="0.35">
      <c r="A29" s="199" t="s">
        <v>70</v>
      </c>
      <c r="B29" s="200"/>
      <c r="C29" s="200"/>
      <c r="D29" s="200"/>
      <c r="E29" s="200"/>
      <c r="F29" s="200"/>
      <c r="G29" s="201"/>
    </row>
    <row r="30" spans="1:16" x14ac:dyDescent="0.35">
      <c r="A30" s="85"/>
      <c r="B30" s="86">
        <f>B3</f>
        <v>44166</v>
      </c>
      <c r="C30" s="87" t="s">
        <v>71</v>
      </c>
      <c r="D30" s="88" t="s">
        <v>72</v>
      </c>
      <c r="E30" s="88"/>
      <c r="F30" s="88"/>
      <c r="G30" s="89"/>
    </row>
    <row r="31" spans="1:16" x14ac:dyDescent="0.35">
      <c r="A31" s="90"/>
      <c r="B31" s="91" t="s">
        <v>73</v>
      </c>
      <c r="C31" s="88" t="s">
        <v>74</v>
      </c>
      <c r="D31" s="88" t="s">
        <v>75</v>
      </c>
      <c r="E31" s="202" t="s">
        <v>76</v>
      </c>
      <c r="F31" s="202"/>
      <c r="G31" s="89"/>
    </row>
    <row r="32" spans="1:16" x14ac:dyDescent="0.35">
      <c r="A32" s="92" t="s">
        <v>77</v>
      </c>
      <c r="B32" s="93">
        <v>6.9</v>
      </c>
      <c r="C32" s="94">
        <v>5.9390000000000001</v>
      </c>
      <c r="D32" s="95">
        <f>(B32/C32)-1</f>
        <v>0.16181175282034022</v>
      </c>
      <c r="E32" s="220">
        <f>(4.185*(D32+1))</f>
        <v>4.8621821855531238</v>
      </c>
      <c r="F32" s="221"/>
      <c r="G32" s="89"/>
    </row>
    <row r="33" spans="1:7" x14ac:dyDescent="0.35">
      <c r="A33" s="92"/>
      <c r="B33" s="88"/>
      <c r="C33" s="88"/>
      <c r="D33" s="88"/>
      <c r="E33" s="88"/>
      <c r="F33" s="88"/>
      <c r="G33" s="89"/>
    </row>
    <row r="34" spans="1:7" x14ac:dyDescent="0.35">
      <c r="A34" s="96" t="s">
        <v>78</v>
      </c>
      <c r="B34" s="97"/>
      <c r="C34" s="97"/>
      <c r="D34" s="97"/>
      <c r="E34" s="97"/>
      <c r="F34" s="97"/>
      <c r="G34" s="98"/>
    </row>
    <row r="36" spans="1:7" x14ac:dyDescent="0.35">
      <c r="A36" s="80" t="s">
        <v>79</v>
      </c>
      <c r="B36" s="99" t="s">
        <v>80</v>
      </c>
      <c r="C36" s="99"/>
      <c r="D36" s="99"/>
      <c r="E36" s="99"/>
      <c r="F36" s="99"/>
      <c r="G36" s="100"/>
    </row>
    <row r="37" spans="1:7" x14ac:dyDescent="0.35">
      <c r="A37" s="80"/>
      <c r="B37" s="99"/>
      <c r="C37" s="99"/>
      <c r="D37" s="99"/>
      <c r="E37" s="99"/>
      <c r="F37" s="99"/>
      <c r="G37" s="100"/>
    </row>
    <row r="38" spans="1:7" x14ac:dyDescent="0.35">
      <c r="A38" s="80" t="s">
        <v>81</v>
      </c>
      <c r="B38" s="99" t="s">
        <v>82</v>
      </c>
      <c r="C38" s="99"/>
      <c r="D38" s="99"/>
      <c r="E38" s="99"/>
      <c r="F38" s="99"/>
      <c r="G38" s="100"/>
    </row>
    <row r="39" spans="1:7" x14ac:dyDescent="0.35">
      <c r="A39" s="80"/>
      <c r="B39" s="99"/>
      <c r="C39" s="99"/>
      <c r="D39" s="99"/>
      <c r="E39" s="99"/>
      <c r="F39" s="99"/>
      <c r="G39" s="100"/>
    </row>
    <row r="40" spans="1:7" x14ac:dyDescent="0.35">
      <c r="A40" s="80" t="s">
        <v>83</v>
      </c>
      <c r="B40" s="99" t="s">
        <v>84</v>
      </c>
      <c r="C40" s="99"/>
      <c r="D40" s="99"/>
      <c r="E40" s="99"/>
      <c r="F40" s="99"/>
      <c r="G40" s="100"/>
    </row>
    <row r="41" spans="1:7" x14ac:dyDescent="0.35">
      <c r="A41" s="80"/>
    </row>
  </sheetData>
  <mergeCells count="5">
    <mergeCell ref="F16:H16"/>
    <mergeCell ref="F25:H25"/>
    <mergeCell ref="A29:G29"/>
    <mergeCell ref="E31:F31"/>
    <mergeCell ref="E32:F32"/>
  </mergeCells>
  <pageMargins left="0.17" right="0.17" top="0.66" bottom="0.55000000000000004" header="0.24" footer="0.33"/>
  <pageSetup scale="72" fitToHeight="0" orientation="portrait" r:id="rId1"/>
  <headerFooter>
    <oddHeader xml:space="preserve">&amp;RKY PSC CN 2020-00378  
 Staff's Data Request Set 1 No. 5 Attachment D  
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view="pageLayout" zoomScaleNormal="100" workbookViewId="0">
      <selection activeCell="L3" sqref="L3"/>
    </sheetView>
  </sheetViews>
  <sheetFormatPr defaultColWidth="9.1796875" defaultRowHeight="12.5" x14ac:dyDescent="0.25"/>
  <cols>
    <col min="1" max="1" width="9.1796875" style="109" customWidth="1"/>
    <col min="2" max="2" width="10.1796875" style="103" customWidth="1"/>
    <col min="3" max="3" width="11.1796875" style="103" customWidth="1"/>
    <col min="4" max="4" width="9.26953125" style="103" customWidth="1"/>
    <col min="5" max="5" width="10.81640625" style="103" customWidth="1"/>
    <col min="6" max="6" width="13.26953125" style="103" customWidth="1"/>
    <col min="7" max="7" width="13" style="103" customWidth="1"/>
    <col min="8" max="8" width="10.1796875" style="103" customWidth="1"/>
    <col min="9" max="9" width="14.54296875" style="103" customWidth="1"/>
    <col min="10" max="13" width="10.1796875" style="103" customWidth="1"/>
    <col min="14" max="14" width="8.453125" style="103" hidden="1" customWidth="1"/>
    <col min="15" max="15" width="1.453125" style="104" customWidth="1"/>
    <col min="16" max="16" width="11" style="104" hidden="1" customWidth="1"/>
    <col min="17" max="17" width="11.453125" style="104" customWidth="1"/>
    <col min="18" max="16384" width="9.1796875" style="104"/>
  </cols>
  <sheetData>
    <row r="1" spans="1:16" ht="18" x14ac:dyDescent="0.4">
      <c r="A1" s="101" t="s">
        <v>85</v>
      </c>
      <c r="B1" s="102"/>
      <c r="C1" s="102"/>
      <c r="D1" s="102"/>
    </row>
    <row r="2" spans="1:16" ht="18" x14ac:dyDescent="0.4">
      <c r="A2" s="101"/>
      <c r="B2" s="102"/>
      <c r="C2" s="102"/>
      <c r="D2" s="102"/>
    </row>
    <row r="3" spans="1:16" ht="18" x14ac:dyDescent="0.4">
      <c r="A3" s="101" t="s">
        <v>86</v>
      </c>
      <c r="B3" s="105"/>
      <c r="C3" s="106">
        <f>'December 20 TCPS CALC'!C3</f>
        <v>44166</v>
      </c>
      <c r="E3" s="107"/>
      <c r="F3" s="107"/>
      <c r="G3" s="107"/>
      <c r="H3" s="107"/>
      <c r="I3" s="107"/>
      <c r="J3" s="107"/>
      <c r="K3" s="107"/>
      <c r="L3" s="107"/>
      <c r="M3" s="108"/>
    </row>
    <row r="5" spans="1:16" ht="13" thickBot="1" x14ac:dyDescent="0.3"/>
    <row r="6" spans="1:16" ht="13" x14ac:dyDescent="0.3">
      <c r="H6" s="206" t="s">
        <v>87</v>
      </c>
      <c r="I6" s="207"/>
      <c r="J6" s="207"/>
      <c r="K6" s="208" t="s">
        <v>88</v>
      </c>
      <c r="L6" s="209"/>
      <c r="M6" s="210"/>
      <c r="P6" s="103" t="s">
        <v>89</v>
      </c>
    </row>
    <row r="7" spans="1:16" ht="13" x14ac:dyDescent="0.3">
      <c r="A7" s="110" t="s">
        <v>90</v>
      </c>
      <c r="B7" s="211" t="s">
        <v>91</v>
      </c>
      <c r="C7" s="212"/>
      <c r="D7" s="213"/>
      <c r="E7" s="214" t="s">
        <v>92</v>
      </c>
      <c r="F7" s="215"/>
      <c r="G7" s="216"/>
      <c r="H7" s="212" t="s">
        <v>93</v>
      </c>
      <c r="I7" s="212"/>
      <c r="J7" s="212"/>
      <c r="K7" s="217" t="s">
        <v>94</v>
      </c>
      <c r="L7" s="218"/>
      <c r="M7" s="219"/>
      <c r="P7" s="103" t="s">
        <v>95</v>
      </c>
    </row>
    <row r="8" spans="1:16" ht="13" x14ac:dyDescent="0.3">
      <c r="A8" s="111" t="s">
        <v>96</v>
      </c>
      <c r="B8" s="112" t="s">
        <v>97</v>
      </c>
      <c r="C8" s="113" t="s">
        <v>98</v>
      </c>
      <c r="D8" s="114" t="s">
        <v>99</v>
      </c>
      <c r="E8" s="115" t="s">
        <v>97</v>
      </c>
      <c r="F8" s="116" t="s">
        <v>98</v>
      </c>
      <c r="G8" s="117" t="s">
        <v>99</v>
      </c>
      <c r="H8" s="113" t="s">
        <v>97</v>
      </c>
      <c r="I8" s="113" t="s">
        <v>98</v>
      </c>
      <c r="J8" s="113" t="s">
        <v>99</v>
      </c>
      <c r="K8" s="118" t="s">
        <v>97</v>
      </c>
      <c r="L8" s="119" t="s">
        <v>98</v>
      </c>
      <c r="M8" s="120" t="s">
        <v>99</v>
      </c>
      <c r="N8" s="121" t="s">
        <v>96</v>
      </c>
      <c r="P8" s="122" t="s">
        <v>100</v>
      </c>
    </row>
    <row r="9" spans="1:16" ht="13" x14ac:dyDescent="0.3">
      <c r="A9" s="123"/>
      <c r="B9" s="124"/>
      <c r="C9" s="125"/>
      <c r="D9" s="126"/>
      <c r="E9" s="127"/>
      <c r="F9" s="128"/>
      <c r="G9" s="129"/>
      <c r="H9" s="130"/>
      <c r="I9" s="130" t="s">
        <v>101</v>
      </c>
      <c r="J9" s="131"/>
      <c r="K9" s="132"/>
      <c r="L9" s="133"/>
      <c r="M9" s="134"/>
    </row>
    <row r="10" spans="1:16" ht="13" x14ac:dyDescent="0.3">
      <c r="A10" s="109">
        <f>C3</f>
        <v>44166</v>
      </c>
      <c r="B10" s="135">
        <v>2.0499999999999998</v>
      </c>
      <c r="C10" s="136">
        <v>2.57</v>
      </c>
      <c r="D10" s="137">
        <v>2.77</v>
      </c>
      <c r="E10" s="138">
        <v>2.31</v>
      </c>
      <c r="F10" s="139">
        <v>2.6850000000000001</v>
      </c>
      <c r="G10" s="140">
        <v>2.86</v>
      </c>
      <c r="H10" s="135">
        <v>2.1800000000000002</v>
      </c>
      <c r="I10" s="136">
        <v>2.46</v>
      </c>
      <c r="J10" s="137">
        <v>2.52</v>
      </c>
      <c r="K10" s="141">
        <f t="shared" ref="K10:M37" si="0">AVERAGE(B10,E10,H10)</f>
        <v>2.1799999999999997</v>
      </c>
      <c r="L10" s="142">
        <f t="shared" si="0"/>
        <v>2.5716666666666668</v>
      </c>
      <c r="M10" s="143">
        <f t="shared" si="0"/>
        <v>2.7166666666666668</v>
      </c>
      <c r="N10" s="109">
        <f t="shared" ref="N10:N40" si="1">A10</f>
        <v>44166</v>
      </c>
      <c r="P10" s="144">
        <f>H10-E10</f>
        <v>-0.12999999999999989</v>
      </c>
    </row>
    <row r="11" spans="1:16" x14ac:dyDescent="0.25">
      <c r="A11" s="109">
        <f>A10+1</f>
        <v>44167</v>
      </c>
      <c r="B11" s="145">
        <f t="shared" ref="B11:B40" si="2">$B$10</f>
        <v>2.0499999999999998</v>
      </c>
      <c r="C11" s="146">
        <f>$C$10</f>
        <v>2.57</v>
      </c>
      <c r="D11" s="147">
        <f>$D$10</f>
        <v>2.77</v>
      </c>
      <c r="E11" s="138">
        <v>2.335</v>
      </c>
      <c r="F11" s="139">
        <v>2.5649999999999999</v>
      </c>
      <c r="G11" s="140">
        <v>2.75</v>
      </c>
      <c r="H11" s="148">
        <f t="shared" ref="H11:J16" si="3">H10</f>
        <v>2.1800000000000002</v>
      </c>
      <c r="I11" s="148">
        <f t="shared" si="3"/>
        <v>2.46</v>
      </c>
      <c r="J11" s="148">
        <f t="shared" si="3"/>
        <v>2.52</v>
      </c>
      <c r="K11" s="141">
        <f t="shared" si="0"/>
        <v>2.188333333333333</v>
      </c>
      <c r="L11" s="142">
        <f t="shared" si="0"/>
        <v>2.5316666666666667</v>
      </c>
      <c r="M11" s="143">
        <f t="shared" si="0"/>
        <v>2.6799999999999997</v>
      </c>
      <c r="N11" s="149">
        <f t="shared" si="1"/>
        <v>44167</v>
      </c>
      <c r="P11" s="144">
        <f t="shared" ref="P11:P40" si="4">H11-E11</f>
        <v>-0.1549999999999998</v>
      </c>
    </row>
    <row r="12" spans="1:16" x14ac:dyDescent="0.25">
      <c r="A12" s="109">
        <f t="shared" ref="A12:A40" si="5">A11+1</f>
        <v>44168</v>
      </c>
      <c r="B12" s="145">
        <f t="shared" si="2"/>
        <v>2.0499999999999998</v>
      </c>
      <c r="C12" s="146">
        <f t="shared" ref="C12:C40" si="6">$C$10</f>
        <v>2.57</v>
      </c>
      <c r="D12" s="147">
        <f t="shared" ref="D12:D40" si="7">$D$10</f>
        <v>2.77</v>
      </c>
      <c r="E12" s="138">
        <v>2.2749999999999999</v>
      </c>
      <c r="F12" s="139">
        <v>2.5950000000000002</v>
      </c>
      <c r="G12" s="140">
        <v>2.665</v>
      </c>
      <c r="H12" s="148">
        <f t="shared" si="3"/>
        <v>2.1800000000000002</v>
      </c>
      <c r="I12" s="148">
        <f t="shared" si="3"/>
        <v>2.46</v>
      </c>
      <c r="J12" s="148">
        <f t="shared" si="3"/>
        <v>2.52</v>
      </c>
      <c r="K12" s="141">
        <f t="shared" si="0"/>
        <v>2.168333333333333</v>
      </c>
      <c r="L12" s="142">
        <f t="shared" si="0"/>
        <v>2.5416666666666665</v>
      </c>
      <c r="M12" s="143">
        <f t="shared" si="0"/>
        <v>2.6516666666666668</v>
      </c>
      <c r="N12" s="109">
        <f t="shared" si="1"/>
        <v>44168</v>
      </c>
      <c r="P12" s="144">
        <f t="shared" si="4"/>
        <v>-9.4999999999999751E-2</v>
      </c>
    </row>
    <row r="13" spans="1:16" x14ac:dyDescent="0.25">
      <c r="A13" s="109">
        <f t="shared" si="5"/>
        <v>44169</v>
      </c>
      <c r="B13" s="145">
        <f t="shared" si="2"/>
        <v>2.0499999999999998</v>
      </c>
      <c r="C13" s="146">
        <f t="shared" si="6"/>
        <v>2.57</v>
      </c>
      <c r="D13" s="147">
        <f t="shared" si="7"/>
        <v>2.77</v>
      </c>
      <c r="E13" s="138">
        <v>1.9950000000000001</v>
      </c>
      <c r="F13" s="139">
        <v>2.29</v>
      </c>
      <c r="G13" s="140">
        <v>2.395</v>
      </c>
      <c r="H13" s="148">
        <f t="shared" si="3"/>
        <v>2.1800000000000002</v>
      </c>
      <c r="I13" s="148">
        <f t="shared" si="3"/>
        <v>2.46</v>
      </c>
      <c r="J13" s="148">
        <f t="shared" si="3"/>
        <v>2.52</v>
      </c>
      <c r="K13" s="141">
        <f t="shared" si="0"/>
        <v>2.0749999999999997</v>
      </c>
      <c r="L13" s="142">
        <f t="shared" si="0"/>
        <v>2.44</v>
      </c>
      <c r="M13" s="143">
        <f t="shared" si="0"/>
        <v>2.561666666666667</v>
      </c>
      <c r="N13" s="109">
        <f t="shared" si="1"/>
        <v>44169</v>
      </c>
      <c r="P13" s="144">
        <f t="shared" si="4"/>
        <v>0.18500000000000005</v>
      </c>
    </row>
    <row r="14" spans="1:16" s="155" customFormat="1" x14ac:dyDescent="0.25">
      <c r="A14" s="150">
        <f t="shared" si="5"/>
        <v>44170</v>
      </c>
      <c r="B14" s="145">
        <f t="shared" si="2"/>
        <v>2.0499999999999998</v>
      </c>
      <c r="C14" s="146">
        <f t="shared" si="6"/>
        <v>2.57</v>
      </c>
      <c r="D14" s="147">
        <f t="shared" si="7"/>
        <v>2.77</v>
      </c>
      <c r="E14" s="138">
        <v>2.145</v>
      </c>
      <c r="F14" s="139">
        <v>2.33</v>
      </c>
      <c r="G14" s="140">
        <v>2.42</v>
      </c>
      <c r="H14" s="148">
        <f t="shared" si="3"/>
        <v>2.1800000000000002</v>
      </c>
      <c r="I14" s="148">
        <f t="shared" si="3"/>
        <v>2.46</v>
      </c>
      <c r="J14" s="148">
        <f t="shared" si="3"/>
        <v>2.52</v>
      </c>
      <c r="K14" s="151">
        <f t="shared" si="0"/>
        <v>2.125</v>
      </c>
      <c r="L14" s="152">
        <f t="shared" si="0"/>
        <v>2.4533333333333336</v>
      </c>
      <c r="M14" s="153">
        <f t="shared" si="0"/>
        <v>2.57</v>
      </c>
      <c r="N14" s="154">
        <f t="shared" si="1"/>
        <v>44170</v>
      </c>
      <c r="P14" s="156">
        <f t="shared" si="4"/>
        <v>3.5000000000000142E-2</v>
      </c>
    </row>
    <row r="15" spans="1:16" s="155" customFormat="1" x14ac:dyDescent="0.25">
      <c r="A15" s="150">
        <f t="shared" si="5"/>
        <v>44171</v>
      </c>
      <c r="B15" s="145">
        <f t="shared" si="2"/>
        <v>2.0499999999999998</v>
      </c>
      <c r="C15" s="146">
        <f t="shared" si="6"/>
        <v>2.57</v>
      </c>
      <c r="D15" s="147">
        <f t="shared" si="7"/>
        <v>2.77</v>
      </c>
      <c r="E15" s="138">
        <v>2.145</v>
      </c>
      <c r="F15" s="139">
        <v>2.33</v>
      </c>
      <c r="G15" s="140">
        <v>2.42</v>
      </c>
      <c r="H15" s="148">
        <f t="shared" si="3"/>
        <v>2.1800000000000002</v>
      </c>
      <c r="I15" s="148">
        <f t="shared" si="3"/>
        <v>2.46</v>
      </c>
      <c r="J15" s="148">
        <f t="shared" si="3"/>
        <v>2.52</v>
      </c>
      <c r="K15" s="151">
        <f t="shared" si="0"/>
        <v>2.125</v>
      </c>
      <c r="L15" s="152">
        <f t="shared" si="0"/>
        <v>2.4533333333333336</v>
      </c>
      <c r="M15" s="153">
        <f t="shared" si="0"/>
        <v>2.57</v>
      </c>
      <c r="N15" s="154">
        <f t="shared" si="1"/>
        <v>44171</v>
      </c>
      <c r="P15" s="144">
        <f t="shared" si="4"/>
        <v>3.5000000000000142E-2</v>
      </c>
    </row>
    <row r="16" spans="1:16" s="155" customFormat="1" ht="13" x14ac:dyDescent="0.3">
      <c r="A16" s="150">
        <f t="shared" si="5"/>
        <v>44172</v>
      </c>
      <c r="B16" s="145">
        <f t="shared" si="2"/>
        <v>2.0499999999999998</v>
      </c>
      <c r="C16" s="146">
        <f t="shared" si="6"/>
        <v>2.57</v>
      </c>
      <c r="D16" s="147">
        <f t="shared" si="7"/>
        <v>2.77</v>
      </c>
      <c r="E16" s="138">
        <v>2.145</v>
      </c>
      <c r="F16" s="139">
        <v>2.33</v>
      </c>
      <c r="G16" s="140">
        <v>2.42</v>
      </c>
      <c r="H16" s="148">
        <f t="shared" si="3"/>
        <v>2.1800000000000002</v>
      </c>
      <c r="I16" s="148">
        <f t="shared" si="3"/>
        <v>2.46</v>
      </c>
      <c r="J16" s="148">
        <f t="shared" si="3"/>
        <v>2.52</v>
      </c>
      <c r="K16" s="151">
        <f t="shared" si="0"/>
        <v>2.125</v>
      </c>
      <c r="L16" s="152">
        <f t="shared" si="0"/>
        <v>2.4533333333333336</v>
      </c>
      <c r="M16" s="153">
        <f t="shared" si="0"/>
        <v>2.57</v>
      </c>
      <c r="N16" s="157">
        <f t="shared" si="1"/>
        <v>44172</v>
      </c>
      <c r="P16" s="144">
        <f t="shared" si="4"/>
        <v>3.5000000000000142E-2</v>
      </c>
    </row>
    <row r="17" spans="1:16" s="155" customFormat="1" ht="13" x14ac:dyDescent="0.3">
      <c r="A17" s="150">
        <f t="shared" si="5"/>
        <v>44173</v>
      </c>
      <c r="B17" s="145">
        <f t="shared" si="2"/>
        <v>2.0499999999999998</v>
      </c>
      <c r="C17" s="146">
        <f t="shared" si="6"/>
        <v>2.57</v>
      </c>
      <c r="D17" s="147">
        <f t="shared" si="7"/>
        <v>2.77</v>
      </c>
      <c r="E17" s="138">
        <v>1.95</v>
      </c>
      <c r="F17" s="139">
        <v>2.21</v>
      </c>
      <c r="G17" s="140">
        <v>2.3250000000000002</v>
      </c>
      <c r="H17" s="158">
        <v>2.0499999999999998</v>
      </c>
      <c r="I17" s="158">
        <v>2.2799999999999998</v>
      </c>
      <c r="J17" s="158">
        <v>2.37</v>
      </c>
      <c r="K17" s="151">
        <f t="shared" si="0"/>
        <v>2.0166666666666666</v>
      </c>
      <c r="L17" s="152">
        <f t="shared" si="0"/>
        <v>2.3533333333333331</v>
      </c>
      <c r="M17" s="153">
        <f t="shared" si="0"/>
        <v>2.4883333333333337</v>
      </c>
      <c r="N17" s="154">
        <f t="shared" si="1"/>
        <v>44173</v>
      </c>
      <c r="P17" s="144">
        <f t="shared" si="4"/>
        <v>9.9999999999999867E-2</v>
      </c>
    </row>
    <row r="18" spans="1:16" s="155" customFormat="1" x14ac:dyDescent="0.25">
      <c r="A18" s="150">
        <f t="shared" si="5"/>
        <v>44174</v>
      </c>
      <c r="B18" s="145">
        <f t="shared" si="2"/>
        <v>2.0499999999999998</v>
      </c>
      <c r="C18" s="146">
        <f t="shared" si="6"/>
        <v>2.57</v>
      </c>
      <c r="D18" s="147">
        <f t="shared" si="7"/>
        <v>2.77</v>
      </c>
      <c r="E18" s="138">
        <v>1.94</v>
      </c>
      <c r="F18" s="139">
        <v>2.1850000000000001</v>
      </c>
      <c r="G18" s="140">
        <v>2.31</v>
      </c>
      <c r="H18" s="148">
        <f t="shared" ref="H18:J22" si="8">H17</f>
        <v>2.0499999999999998</v>
      </c>
      <c r="I18" s="148">
        <f t="shared" si="8"/>
        <v>2.2799999999999998</v>
      </c>
      <c r="J18" s="148">
        <f t="shared" si="8"/>
        <v>2.37</v>
      </c>
      <c r="K18" s="151">
        <f t="shared" si="0"/>
        <v>2.0133333333333332</v>
      </c>
      <c r="L18" s="152">
        <f t="shared" si="0"/>
        <v>2.3450000000000002</v>
      </c>
      <c r="M18" s="153">
        <f t="shared" si="0"/>
        <v>2.4833333333333334</v>
      </c>
      <c r="N18" s="154">
        <f t="shared" si="1"/>
        <v>44174</v>
      </c>
      <c r="P18" s="144">
        <f t="shared" si="4"/>
        <v>0.10999999999999988</v>
      </c>
    </row>
    <row r="19" spans="1:16" s="155" customFormat="1" ht="12" customHeight="1" x14ac:dyDescent="0.25">
      <c r="A19" s="150">
        <f t="shared" si="5"/>
        <v>44175</v>
      </c>
      <c r="B19" s="145">
        <f t="shared" si="2"/>
        <v>2.0499999999999998</v>
      </c>
      <c r="C19" s="146">
        <f t="shared" si="6"/>
        <v>2.57</v>
      </c>
      <c r="D19" s="147">
        <f t="shared" si="7"/>
        <v>2.77</v>
      </c>
      <c r="E19" s="138">
        <v>2.0150000000000001</v>
      </c>
      <c r="F19" s="139">
        <v>2.25</v>
      </c>
      <c r="G19" s="140">
        <v>2.37</v>
      </c>
      <c r="H19" s="148">
        <f t="shared" si="8"/>
        <v>2.0499999999999998</v>
      </c>
      <c r="I19" s="148">
        <f t="shared" si="8"/>
        <v>2.2799999999999998</v>
      </c>
      <c r="J19" s="148">
        <f t="shared" si="8"/>
        <v>2.37</v>
      </c>
      <c r="K19" s="151">
        <f t="shared" si="0"/>
        <v>2.0383333333333331</v>
      </c>
      <c r="L19" s="152">
        <f t="shared" si="0"/>
        <v>2.3666666666666667</v>
      </c>
      <c r="M19" s="153">
        <f t="shared" si="0"/>
        <v>2.5033333333333334</v>
      </c>
      <c r="N19" s="154">
        <f t="shared" si="1"/>
        <v>44175</v>
      </c>
      <c r="P19" s="144">
        <f t="shared" si="4"/>
        <v>3.4999999999999698E-2</v>
      </c>
    </row>
    <row r="20" spans="1:16" s="155" customFormat="1" x14ac:dyDescent="0.25">
      <c r="A20" s="150">
        <f t="shared" si="5"/>
        <v>44176</v>
      </c>
      <c r="B20" s="145">
        <f t="shared" si="2"/>
        <v>2.0499999999999998</v>
      </c>
      <c r="C20" s="146">
        <f t="shared" si="6"/>
        <v>2.57</v>
      </c>
      <c r="D20" s="147">
        <f t="shared" si="7"/>
        <v>2.77</v>
      </c>
      <c r="E20" s="138">
        <v>2.06</v>
      </c>
      <c r="F20" s="139">
        <v>2.2250000000000001</v>
      </c>
      <c r="G20" s="140">
        <v>2.35</v>
      </c>
      <c r="H20" s="148">
        <f t="shared" si="8"/>
        <v>2.0499999999999998</v>
      </c>
      <c r="I20" s="148">
        <f t="shared" si="8"/>
        <v>2.2799999999999998</v>
      </c>
      <c r="J20" s="148">
        <f t="shared" si="8"/>
        <v>2.37</v>
      </c>
      <c r="K20" s="151">
        <f t="shared" si="0"/>
        <v>2.0533333333333332</v>
      </c>
      <c r="L20" s="152">
        <f t="shared" si="0"/>
        <v>2.3583333333333329</v>
      </c>
      <c r="M20" s="153">
        <f t="shared" si="0"/>
        <v>2.4966666666666666</v>
      </c>
      <c r="N20" s="154">
        <f t="shared" si="1"/>
        <v>44176</v>
      </c>
      <c r="P20" s="156">
        <f>H20-E20</f>
        <v>-1.0000000000000231E-2</v>
      </c>
    </row>
    <row r="21" spans="1:16" s="155" customFormat="1" x14ac:dyDescent="0.25">
      <c r="A21" s="150">
        <f t="shared" si="5"/>
        <v>44177</v>
      </c>
      <c r="B21" s="145">
        <f t="shared" si="2"/>
        <v>2.0499999999999998</v>
      </c>
      <c r="C21" s="146">
        <f t="shared" si="6"/>
        <v>2.57</v>
      </c>
      <c r="D21" s="147">
        <f t="shared" si="7"/>
        <v>2.77</v>
      </c>
      <c r="E21" s="138">
        <v>2.13</v>
      </c>
      <c r="F21" s="139">
        <v>2.355</v>
      </c>
      <c r="G21" s="140">
        <v>2.4449999999999998</v>
      </c>
      <c r="H21" s="148">
        <f t="shared" si="8"/>
        <v>2.0499999999999998</v>
      </c>
      <c r="I21" s="148">
        <f t="shared" si="8"/>
        <v>2.2799999999999998</v>
      </c>
      <c r="J21" s="148">
        <f t="shared" si="8"/>
        <v>2.37</v>
      </c>
      <c r="K21" s="151">
        <f t="shared" si="0"/>
        <v>2.0766666666666667</v>
      </c>
      <c r="L21" s="152">
        <f t="shared" si="0"/>
        <v>2.4016666666666668</v>
      </c>
      <c r="M21" s="153">
        <f t="shared" si="0"/>
        <v>2.5283333333333333</v>
      </c>
      <c r="N21" s="154">
        <f t="shared" si="1"/>
        <v>44177</v>
      </c>
      <c r="P21" s="156">
        <f t="shared" si="4"/>
        <v>-8.0000000000000071E-2</v>
      </c>
    </row>
    <row r="22" spans="1:16" s="155" customFormat="1" x14ac:dyDescent="0.25">
      <c r="A22" s="150">
        <f t="shared" si="5"/>
        <v>44178</v>
      </c>
      <c r="B22" s="145">
        <f t="shared" si="2"/>
        <v>2.0499999999999998</v>
      </c>
      <c r="C22" s="146">
        <f t="shared" si="6"/>
        <v>2.57</v>
      </c>
      <c r="D22" s="147">
        <f t="shared" si="7"/>
        <v>2.77</v>
      </c>
      <c r="E22" s="138">
        <v>2.13</v>
      </c>
      <c r="F22" s="139">
        <v>2.355</v>
      </c>
      <c r="G22" s="140">
        <v>2.4449999999999998</v>
      </c>
      <c r="H22" s="148">
        <f t="shared" si="8"/>
        <v>2.0499999999999998</v>
      </c>
      <c r="I22" s="148">
        <f t="shared" si="8"/>
        <v>2.2799999999999998</v>
      </c>
      <c r="J22" s="148">
        <f t="shared" si="8"/>
        <v>2.37</v>
      </c>
      <c r="K22" s="151">
        <f t="shared" si="0"/>
        <v>2.0766666666666667</v>
      </c>
      <c r="L22" s="152">
        <f t="shared" si="0"/>
        <v>2.4016666666666668</v>
      </c>
      <c r="M22" s="153">
        <f t="shared" si="0"/>
        <v>2.5283333333333333</v>
      </c>
      <c r="N22" s="154">
        <f t="shared" si="1"/>
        <v>44178</v>
      </c>
      <c r="P22" s="144">
        <f t="shared" si="4"/>
        <v>-8.0000000000000071E-2</v>
      </c>
    </row>
    <row r="23" spans="1:16" s="155" customFormat="1" ht="13" x14ac:dyDescent="0.3">
      <c r="A23" s="150">
        <f t="shared" si="5"/>
        <v>44179</v>
      </c>
      <c r="B23" s="145">
        <f t="shared" si="2"/>
        <v>2.0499999999999998</v>
      </c>
      <c r="C23" s="146">
        <f t="shared" si="6"/>
        <v>2.57</v>
      </c>
      <c r="D23" s="147">
        <f t="shared" si="7"/>
        <v>2.77</v>
      </c>
      <c r="E23" s="138">
        <v>2.13</v>
      </c>
      <c r="F23" s="139">
        <v>2.355</v>
      </c>
      <c r="G23" s="140">
        <v>2.4449999999999998</v>
      </c>
      <c r="H23" s="148">
        <f>H22</f>
        <v>2.0499999999999998</v>
      </c>
      <c r="I23" s="148">
        <f>I22</f>
        <v>2.2799999999999998</v>
      </c>
      <c r="J23" s="148">
        <f>J22</f>
        <v>2.37</v>
      </c>
      <c r="K23" s="151">
        <f t="shared" si="0"/>
        <v>2.0766666666666667</v>
      </c>
      <c r="L23" s="152">
        <f t="shared" si="0"/>
        <v>2.4016666666666668</v>
      </c>
      <c r="M23" s="153">
        <f t="shared" si="0"/>
        <v>2.5283333333333333</v>
      </c>
      <c r="N23" s="157">
        <f t="shared" si="1"/>
        <v>44179</v>
      </c>
      <c r="P23" s="144">
        <f t="shared" si="4"/>
        <v>-8.0000000000000071E-2</v>
      </c>
    </row>
    <row r="24" spans="1:16" s="155" customFormat="1" ht="13" x14ac:dyDescent="0.3">
      <c r="A24" s="150">
        <f t="shared" si="5"/>
        <v>44180</v>
      </c>
      <c r="B24" s="145">
        <f t="shared" si="2"/>
        <v>2.0499999999999998</v>
      </c>
      <c r="C24" s="146">
        <f t="shared" si="6"/>
        <v>2.57</v>
      </c>
      <c r="D24" s="147">
        <f t="shared" si="7"/>
        <v>2.77</v>
      </c>
      <c r="E24" s="138">
        <v>2.33</v>
      </c>
      <c r="F24" s="139">
        <v>2.5350000000000001</v>
      </c>
      <c r="G24" s="140">
        <v>2.6150000000000002</v>
      </c>
      <c r="H24" s="158">
        <v>2.34</v>
      </c>
      <c r="I24" s="158">
        <v>2.52</v>
      </c>
      <c r="J24" s="158">
        <v>2.61</v>
      </c>
      <c r="K24" s="151">
        <f>AVERAGE(B24,E24,H24)</f>
        <v>2.2399999999999998</v>
      </c>
      <c r="L24" s="152">
        <f t="shared" si="0"/>
        <v>2.5416666666666665</v>
      </c>
      <c r="M24" s="153">
        <f t="shared" si="0"/>
        <v>2.6649999999999996</v>
      </c>
      <c r="N24" s="154">
        <f t="shared" si="1"/>
        <v>44180</v>
      </c>
      <c r="P24" s="144">
        <f t="shared" si="4"/>
        <v>9.9999999999997868E-3</v>
      </c>
    </row>
    <row r="25" spans="1:16" s="155" customFormat="1" x14ac:dyDescent="0.25">
      <c r="A25" s="150">
        <f t="shared" si="5"/>
        <v>44181</v>
      </c>
      <c r="B25" s="145">
        <f t="shared" si="2"/>
        <v>2.0499999999999998</v>
      </c>
      <c r="C25" s="146">
        <f t="shared" si="6"/>
        <v>2.57</v>
      </c>
      <c r="D25" s="147">
        <f t="shared" si="7"/>
        <v>2.77</v>
      </c>
      <c r="E25" s="138">
        <v>2.2999999999999998</v>
      </c>
      <c r="F25" s="139">
        <v>2.5</v>
      </c>
      <c r="G25" s="140">
        <v>2.5750000000000002</v>
      </c>
      <c r="H25" s="148">
        <f t="shared" ref="H25:J29" si="9">H24</f>
        <v>2.34</v>
      </c>
      <c r="I25" s="148">
        <f t="shared" si="9"/>
        <v>2.52</v>
      </c>
      <c r="J25" s="148">
        <f t="shared" si="9"/>
        <v>2.61</v>
      </c>
      <c r="K25" s="151">
        <f t="shared" si="0"/>
        <v>2.23</v>
      </c>
      <c r="L25" s="152">
        <f t="shared" si="0"/>
        <v>2.5299999999999998</v>
      </c>
      <c r="M25" s="153">
        <f t="shared" si="0"/>
        <v>2.6516666666666668</v>
      </c>
      <c r="N25" s="154">
        <f t="shared" si="1"/>
        <v>44181</v>
      </c>
      <c r="P25" s="156">
        <f t="shared" si="4"/>
        <v>4.0000000000000036E-2</v>
      </c>
    </row>
    <row r="26" spans="1:16" s="155" customFormat="1" x14ac:dyDescent="0.25">
      <c r="A26" s="150">
        <f t="shared" si="5"/>
        <v>44182</v>
      </c>
      <c r="B26" s="145">
        <f t="shared" si="2"/>
        <v>2.0499999999999998</v>
      </c>
      <c r="C26" s="146">
        <f t="shared" si="6"/>
        <v>2.57</v>
      </c>
      <c r="D26" s="147">
        <f t="shared" si="7"/>
        <v>2.77</v>
      </c>
      <c r="E26" s="138">
        <v>2.3199999999999998</v>
      </c>
      <c r="F26" s="139">
        <v>2.5249999999999999</v>
      </c>
      <c r="G26" s="140">
        <v>2.5950000000000002</v>
      </c>
      <c r="H26" s="148">
        <f t="shared" si="9"/>
        <v>2.34</v>
      </c>
      <c r="I26" s="148">
        <f t="shared" si="9"/>
        <v>2.52</v>
      </c>
      <c r="J26" s="148">
        <f t="shared" si="9"/>
        <v>2.61</v>
      </c>
      <c r="K26" s="151">
        <f t="shared" si="0"/>
        <v>2.2366666666666664</v>
      </c>
      <c r="L26" s="152">
        <f t="shared" si="0"/>
        <v>2.5383333333333336</v>
      </c>
      <c r="M26" s="153">
        <f t="shared" si="0"/>
        <v>2.6583333333333332</v>
      </c>
      <c r="N26" s="154">
        <f t="shared" si="1"/>
        <v>44182</v>
      </c>
      <c r="P26" s="144">
        <f t="shared" si="4"/>
        <v>2.0000000000000018E-2</v>
      </c>
    </row>
    <row r="27" spans="1:16" s="155" customFormat="1" x14ac:dyDescent="0.25">
      <c r="A27" s="150">
        <f t="shared" si="5"/>
        <v>44183</v>
      </c>
      <c r="B27" s="145">
        <f t="shared" si="2"/>
        <v>2.0499999999999998</v>
      </c>
      <c r="C27" s="146">
        <f t="shared" si="6"/>
        <v>2.57</v>
      </c>
      <c r="D27" s="147">
        <f t="shared" si="7"/>
        <v>2.77</v>
      </c>
      <c r="E27" s="138">
        <v>2.3149999999999999</v>
      </c>
      <c r="F27" s="139">
        <v>2.4950000000000001</v>
      </c>
      <c r="G27" s="140">
        <v>2.5750000000000002</v>
      </c>
      <c r="H27" s="148">
        <f t="shared" si="9"/>
        <v>2.34</v>
      </c>
      <c r="I27" s="148">
        <f t="shared" si="9"/>
        <v>2.52</v>
      </c>
      <c r="J27" s="148">
        <f t="shared" si="9"/>
        <v>2.61</v>
      </c>
      <c r="K27" s="151">
        <f t="shared" si="0"/>
        <v>2.2349999999999999</v>
      </c>
      <c r="L27" s="152">
        <f t="shared" si="0"/>
        <v>2.5283333333333329</v>
      </c>
      <c r="M27" s="153">
        <f t="shared" si="0"/>
        <v>2.6516666666666668</v>
      </c>
      <c r="N27" s="154">
        <f t="shared" si="1"/>
        <v>44183</v>
      </c>
      <c r="P27" s="156">
        <f t="shared" si="4"/>
        <v>2.4999999999999911E-2</v>
      </c>
    </row>
    <row r="28" spans="1:16" s="155" customFormat="1" x14ac:dyDescent="0.25">
      <c r="A28" s="150">
        <f t="shared" si="5"/>
        <v>44184</v>
      </c>
      <c r="B28" s="145">
        <f t="shared" si="2"/>
        <v>2.0499999999999998</v>
      </c>
      <c r="C28" s="146">
        <f t="shared" si="6"/>
        <v>2.57</v>
      </c>
      <c r="D28" s="147">
        <f t="shared" si="7"/>
        <v>2.77</v>
      </c>
      <c r="E28" s="138">
        <v>2.37</v>
      </c>
      <c r="F28" s="139">
        <v>2.5550000000000002</v>
      </c>
      <c r="G28" s="140">
        <v>2.625</v>
      </c>
      <c r="H28" s="148">
        <f t="shared" si="9"/>
        <v>2.34</v>
      </c>
      <c r="I28" s="148">
        <f t="shared" si="9"/>
        <v>2.52</v>
      </c>
      <c r="J28" s="148">
        <f t="shared" si="9"/>
        <v>2.61</v>
      </c>
      <c r="K28" s="151">
        <f t="shared" si="0"/>
        <v>2.2533333333333334</v>
      </c>
      <c r="L28" s="152">
        <f t="shared" si="0"/>
        <v>2.5483333333333333</v>
      </c>
      <c r="M28" s="153">
        <f t="shared" si="0"/>
        <v>2.668333333333333</v>
      </c>
      <c r="N28" s="154">
        <f t="shared" si="1"/>
        <v>44184</v>
      </c>
      <c r="P28" s="156">
        <f t="shared" si="4"/>
        <v>-3.0000000000000249E-2</v>
      </c>
    </row>
    <row r="29" spans="1:16" s="155" customFormat="1" x14ac:dyDescent="0.25">
      <c r="A29" s="150">
        <f t="shared" si="5"/>
        <v>44185</v>
      </c>
      <c r="B29" s="145">
        <f t="shared" si="2"/>
        <v>2.0499999999999998</v>
      </c>
      <c r="C29" s="146">
        <f t="shared" si="6"/>
        <v>2.57</v>
      </c>
      <c r="D29" s="147">
        <f t="shared" si="7"/>
        <v>2.77</v>
      </c>
      <c r="E29" s="138">
        <v>2.37</v>
      </c>
      <c r="F29" s="139">
        <v>2.5550000000000002</v>
      </c>
      <c r="G29" s="140">
        <v>2.625</v>
      </c>
      <c r="H29" s="148">
        <f t="shared" si="9"/>
        <v>2.34</v>
      </c>
      <c r="I29" s="148">
        <f t="shared" si="9"/>
        <v>2.52</v>
      </c>
      <c r="J29" s="148">
        <f t="shared" si="9"/>
        <v>2.61</v>
      </c>
      <c r="K29" s="151">
        <f t="shared" si="0"/>
        <v>2.2533333333333334</v>
      </c>
      <c r="L29" s="152">
        <f t="shared" si="0"/>
        <v>2.5483333333333333</v>
      </c>
      <c r="M29" s="153">
        <f t="shared" si="0"/>
        <v>2.668333333333333</v>
      </c>
      <c r="N29" s="154">
        <f t="shared" si="1"/>
        <v>44185</v>
      </c>
      <c r="P29" s="144">
        <f t="shared" si="4"/>
        <v>-3.0000000000000249E-2</v>
      </c>
    </row>
    <row r="30" spans="1:16" s="155" customFormat="1" ht="13" x14ac:dyDescent="0.3">
      <c r="A30" s="150">
        <f t="shared" si="5"/>
        <v>44186</v>
      </c>
      <c r="B30" s="145">
        <f t="shared" si="2"/>
        <v>2.0499999999999998</v>
      </c>
      <c r="C30" s="146">
        <f t="shared" si="6"/>
        <v>2.57</v>
      </c>
      <c r="D30" s="147">
        <f t="shared" si="7"/>
        <v>2.77</v>
      </c>
      <c r="E30" s="138">
        <v>2.37</v>
      </c>
      <c r="F30" s="139">
        <v>2.5550000000000002</v>
      </c>
      <c r="G30" s="140">
        <v>2.625</v>
      </c>
      <c r="H30" s="148">
        <f>H29</f>
        <v>2.34</v>
      </c>
      <c r="I30" s="148">
        <f>I29</f>
        <v>2.52</v>
      </c>
      <c r="J30" s="148">
        <f>J29</f>
        <v>2.61</v>
      </c>
      <c r="K30" s="151">
        <f t="shared" si="0"/>
        <v>2.2533333333333334</v>
      </c>
      <c r="L30" s="152">
        <f t="shared" si="0"/>
        <v>2.5483333333333333</v>
      </c>
      <c r="M30" s="153">
        <f t="shared" si="0"/>
        <v>2.668333333333333</v>
      </c>
      <c r="N30" s="157">
        <f t="shared" si="1"/>
        <v>44186</v>
      </c>
      <c r="P30" s="144">
        <f t="shared" si="4"/>
        <v>-3.0000000000000249E-2</v>
      </c>
    </row>
    <row r="31" spans="1:16" s="155" customFormat="1" ht="13" x14ac:dyDescent="0.3">
      <c r="A31" s="150">
        <f t="shared" si="5"/>
        <v>44187</v>
      </c>
      <c r="B31" s="145">
        <f t="shared" si="2"/>
        <v>2.0499999999999998</v>
      </c>
      <c r="C31" s="146">
        <f t="shared" si="6"/>
        <v>2.57</v>
      </c>
      <c r="D31" s="147">
        <f t="shared" si="7"/>
        <v>2.77</v>
      </c>
      <c r="E31" s="138">
        <v>2.4350000000000001</v>
      </c>
      <c r="F31" s="139">
        <v>2.5150000000000001</v>
      </c>
      <c r="G31" s="140">
        <v>2.585</v>
      </c>
      <c r="H31" s="158">
        <v>2.39</v>
      </c>
      <c r="I31" s="158">
        <v>2.5099999999999998</v>
      </c>
      <c r="J31" s="158">
        <v>2.61</v>
      </c>
      <c r="K31" s="151">
        <f t="shared" si="0"/>
        <v>2.2916666666666665</v>
      </c>
      <c r="L31" s="152">
        <f t="shared" si="0"/>
        <v>2.5316666666666667</v>
      </c>
      <c r="M31" s="153">
        <f t="shared" si="0"/>
        <v>2.6549999999999998</v>
      </c>
      <c r="N31" s="154">
        <f t="shared" si="1"/>
        <v>44187</v>
      </c>
      <c r="P31" s="144">
        <f t="shared" si="4"/>
        <v>-4.4999999999999929E-2</v>
      </c>
    </row>
    <row r="32" spans="1:16" s="155" customFormat="1" x14ac:dyDescent="0.25">
      <c r="A32" s="150">
        <f t="shared" si="5"/>
        <v>44188</v>
      </c>
      <c r="B32" s="145">
        <f t="shared" si="2"/>
        <v>2.0499999999999998</v>
      </c>
      <c r="C32" s="146">
        <f t="shared" si="6"/>
        <v>2.57</v>
      </c>
      <c r="D32" s="147">
        <f t="shared" si="7"/>
        <v>2.77</v>
      </c>
      <c r="E32" s="138">
        <v>2.5049999999999999</v>
      </c>
      <c r="F32" s="139">
        <v>2.58</v>
      </c>
      <c r="G32" s="140">
        <v>2.665</v>
      </c>
      <c r="H32" s="148">
        <f t="shared" ref="H32:J37" si="10">H31</f>
        <v>2.39</v>
      </c>
      <c r="I32" s="148">
        <f t="shared" si="10"/>
        <v>2.5099999999999998</v>
      </c>
      <c r="J32" s="148">
        <f t="shared" si="10"/>
        <v>2.61</v>
      </c>
      <c r="K32" s="151">
        <f t="shared" si="0"/>
        <v>2.3149999999999999</v>
      </c>
      <c r="L32" s="152">
        <f t="shared" si="0"/>
        <v>2.5533333333333332</v>
      </c>
      <c r="M32" s="153">
        <f t="shared" si="0"/>
        <v>2.6816666666666666</v>
      </c>
      <c r="N32" s="154">
        <f t="shared" si="1"/>
        <v>44188</v>
      </c>
      <c r="P32" s="144">
        <f t="shared" si="4"/>
        <v>-0.11499999999999977</v>
      </c>
    </row>
    <row r="33" spans="1:16" s="155" customFormat="1" x14ac:dyDescent="0.25">
      <c r="A33" s="150">
        <f t="shared" si="5"/>
        <v>44189</v>
      </c>
      <c r="B33" s="145">
        <f t="shared" si="2"/>
        <v>2.0499999999999998</v>
      </c>
      <c r="C33" s="146">
        <f t="shared" si="6"/>
        <v>2.57</v>
      </c>
      <c r="D33" s="147">
        <f t="shared" si="7"/>
        <v>2.77</v>
      </c>
      <c r="E33" s="138">
        <v>2.42</v>
      </c>
      <c r="F33" s="139">
        <v>2.58</v>
      </c>
      <c r="G33" s="140">
        <v>2.62</v>
      </c>
      <c r="H33" s="148">
        <f t="shared" si="10"/>
        <v>2.39</v>
      </c>
      <c r="I33" s="148">
        <f t="shared" si="10"/>
        <v>2.5099999999999998</v>
      </c>
      <c r="J33" s="148">
        <f t="shared" si="10"/>
        <v>2.61</v>
      </c>
      <c r="K33" s="151">
        <f t="shared" si="0"/>
        <v>2.2866666666666666</v>
      </c>
      <c r="L33" s="152">
        <f t="shared" si="0"/>
        <v>2.5533333333333332</v>
      </c>
      <c r="M33" s="153">
        <f t="shared" si="0"/>
        <v>2.6666666666666665</v>
      </c>
      <c r="N33" s="154">
        <f t="shared" si="1"/>
        <v>44189</v>
      </c>
      <c r="P33" s="144">
        <f t="shared" si="4"/>
        <v>-2.9999999999999805E-2</v>
      </c>
    </row>
    <row r="34" spans="1:16" s="155" customFormat="1" x14ac:dyDescent="0.25">
      <c r="A34" s="150">
        <f t="shared" si="5"/>
        <v>44190</v>
      </c>
      <c r="B34" s="145">
        <f t="shared" si="2"/>
        <v>2.0499999999999998</v>
      </c>
      <c r="C34" s="146">
        <f t="shared" si="6"/>
        <v>2.57</v>
      </c>
      <c r="D34" s="147">
        <f t="shared" si="7"/>
        <v>2.77</v>
      </c>
      <c r="E34" s="138">
        <v>2.3650000000000002</v>
      </c>
      <c r="F34" s="139">
        <v>2.4750000000000001</v>
      </c>
      <c r="G34" s="140">
        <v>2.5499999999999998</v>
      </c>
      <c r="H34" s="148">
        <f t="shared" si="10"/>
        <v>2.39</v>
      </c>
      <c r="I34" s="148">
        <f t="shared" si="10"/>
        <v>2.5099999999999998</v>
      </c>
      <c r="J34" s="148">
        <f t="shared" si="10"/>
        <v>2.61</v>
      </c>
      <c r="K34" s="151">
        <f t="shared" si="0"/>
        <v>2.2683333333333331</v>
      </c>
      <c r="L34" s="152">
        <f t="shared" si="0"/>
        <v>2.5183333333333331</v>
      </c>
      <c r="M34" s="153">
        <f t="shared" si="0"/>
        <v>2.6433333333333331</v>
      </c>
      <c r="N34" s="154">
        <f t="shared" si="1"/>
        <v>44190</v>
      </c>
      <c r="P34" s="156">
        <f t="shared" si="4"/>
        <v>2.4999999999999911E-2</v>
      </c>
    </row>
    <row r="35" spans="1:16" s="155" customFormat="1" x14ac:dyDescent="0.25">
      <c r="A35" s="150">
        <f t="shared" si="5"/>
        <v>44191</v>
      </c>
      <c r="B35" s="145">
        <f t="shared" si="2"/>
        <v>2.0499999999999998</v>
      </c>
      <c r="C35" s="146">
        <f t="shared" si="6"/>
        <v>2.57</v>
      </c>
      <c r="D35" s="147">
        <f t="shared" si="7"/>
        <v>2.77</v>
      </c>
      <c r="E35" s="138">
        <v>2.3650000000000002</v>
      </c>
      <c r="F35" s="139">
        <v>2.4750000000000001</v>
      </c>
      <c r="G35" s="140">
        <v>2.5499999999999998</v>
      </c>
      <c r="H35" s="148">
        <f t="shared" si="10"/>
        <v>2.39</v>
      </c>
      <c r="I35" s="148">
        <f t="shared" si="10"/>
        <v>2.5099999999999998</v>
      </c>
      <c r="J35" s="148">
        <f t="shared" si="10"/>
        <v>2.61</v>
      </c>
      <c r="K35" s="151">
        <f t="shared" si="0"/>
        <v>2.2683333333333331</v>
      </c>
      <c r="L35" s="152">
        <f t="shared" si="0"/>
        <v>2.5183333333333331</v>
      </c>
      <c r="M35" s="153">
        <f t="shared" si="0"/>
        <v>2.6433333333333331</v>
      </c>
      <c r="N35" s="154">
        <f t="shared" si="1"/>
        <v>44191</v>
      </c>
      <c r="P35" s="156">
        <f t="shared" si="4"/>
        <v>2.4999999999999911E-2</v>
      </c>
    </row>
    <row r="36" spans="1:16" x14ac:dyDescent="0.25">
      <c r="A36" s="109">
        <f t="shared" si="5"/>
        <v>44192</v>
      </c>
      <c r="B36" s="145">
        <f t="shared" si="2"/>
        <v>2.0499999999999998</v>
      </c>
      <c r="C36" s="146">
        <f t="shared" si="6"/>
        <v>2.57</v>
      </c>
      <c r="D36" s="147">
        <f t="shared" si="7"/>
        <v>2.77</v>
      </c>
      <c r="E36" s="138">
        <v>2.3650000000000002</v>
      </c>
      <c r="F36" s="139">
        <v>2.4750000000000001</v>
      </c>
      <c r="G36" s="140">
        <v>2.5499999999999998</v>
      </c>
      <c r="H36" s="148">
        <f t="shared" si="10"/>
        <v>2.39</v>
      </c>
      <c r="I36" s="148">
        <f t="shared" si="10"/>
        <v>2.5099999999999998</v>
      </c>
      <c r="J36" s="148">
        <f t="shared" si="10"/>
        <v>2.61</v>
      </c>
      <c r="K36" s="151">
        <f t="shared" si="0"/>
        <v>2.2683333333333331</v>
      </c>
      <c r="L36" s="142">
        <f t="shared" si="0"/>
        <v>2.5183333333333331</v>
      </c>
      <c r="M36" s="143">
        <f t="shared" si="0"/>
        <v>2.6433333333333331</v>
      </c>
      <c r="N36" s="154">
        <f t="shared" si="1"/>
        <v>44192</v>
      </c>
      <c r="P36" s="144">
        <f>H36-E36</f>
        <v>2.4999999999999911E-2</v>
      </c>
    </row>
    <row r="37" spans="1:16" ht="13" x14ac:dyDescent="0.3">
      <c r="A37" s="109">
        <f t="shared" si="5"/>
        <v>44193</v>
      </c>
      <c r="B37" s="145">
        <f t="shared" si="2"/>
        <v>2.0499999999999998</v>
      </c>
      <c r="C37" s="146">
        <f t="shared" si="6"/>
        <v>2.57</v>
      </c>
      <c r="D37" s="147">
        <f t="shared" si="7"/>
        <v>2.77</v>
      </c>
      <c r="E37" s="138">
        <v>2.3650000000000002</v>
      </c>
      <c r="F37" s="139">
        <v>2.4750000000000001</v>
      </c>
      <c r="G37" s="140">
        <v>2.5499999999999998</v>
      </c>
      <c r="H37" s="148">
        <f t="shared" si="10"/>
        <v>2.39</v>
      </c>
      <c r="I37" s="148">
        <f t="shared" si="10"/>
        <v>2.5099999999999998</v>
      </c>
      <c r="J37" s="148">
        <f t="shared" si="10"/>
        <v>2.61</v>
      </c>
      <c r="K37" s="151">
        <f t="shared" si="0"/>
        <v>2.2683333333333331</v>
      </c>
      <c r="L37" s="142">
        <f t="shared" si="0"/>
        <v>2.5183333333333331</v>
      </c>
      <c r="M37" s="143">
        <f t="shared" si="0"/>
        <v>2.6433333333333331</v>
      </c>
      <c r="N37" s="157">
        <f t="shared" si="1"/>
        <v>44193</v>
      </c>
      <c r="P37" s="144">
        <f t="shared" si="4"/>
        <v>2.4999999999999911E-2</v>
      </c>
    </row>
    <row r="38" spans="1:16" s="155" customFormat="1" ht="13" x14ac:dyDescent="0.3">
      <c r="A38" s="150">
        <f t="shared" si="5"/>
        <v>44194</v>
      </c>
      <c r="B38" s="145">
        <f t="shared" si="2"/>
        <v>2.0499999999999998</v>
      </c>
      <c r="C38" s="146">
        <f t="shared" si="6"/>
        <v>2.57</v>
      </c>
      <c r="D38" s="147">
        <f t="shared" si="7"/>
        <v>2.77</v>
      </c>
      <c r="E38" s="138">
        <v>2.0499999999999998</v>
      </c>
      <c r="F38" s="139">
        <v>2.11</v>
      </c>
      <c r="G38" s="140">
        <v>2.165</v>
      </c>
      <c r="H38" s="158">
        <v>2.12</v>
      </c>
      <c r="I38" s="158">
        <v>2.19</v>
      </c>
      <c r="J38" s="158">
        <v>2.2799999999999998</v>
      </c>
      <c r="K38" s="151">
        <f t="shared" ref="K38:M40" si="11">AVERAGE(B38,E38,H38)</f>
        <v>2.0733333333333333</v>
      </c>
      <c r="L38" s="152">
        <f t="shared" si="11"/>
        <v>2.2899999999999996</v>
      </c>
      <c r="M38" s="153">
        <f t="shared" si="11"/>
        <v>2.4049999999999998</v>
      </c>
      <c r="N38" s="154">
        <f t="shared" si="1"/>
        <v>44194</v>
      </c>
      <c r="P38" s="156">
        <f t="shared" si="4"/>
        <v>7.0000000000000284E-2</v>
      </c>
    </row>
    <row r="39" spans="1:16" ht="13" x14ac:dyDescent="0.3">
      <c r="A39" s="109">
        <f t="shared" si="5"/>
        <v>44195</v>
      </c>
      <c r="B39" s="145">
        <f t="shared" si="2"/>
        <v>2.0499999999999998</v>
      </c>
      <c r="C39" s="146">
        <f t="shared" si="6"/>
        <v>2.57</v>
      </c>
      <c r="D39" s="147">
        <f t="shared" si="7"/>
        <v>2.77</v>
      </c>
      <c r="E39" s="138">
        <v>2.14</v>
      </c>
      <c r="F39" s="139">
        <v>2.2000000000000002</v>
      </c>
      <c r="G39" s="140">
        <v>2.2850000000000001</v>
      </c>
      <c r="H39" s="148">
        <f t="shared" ref="H39:J40" si="12">H38</f>
        <v>2.12</v>
      </c>
      <c r="I39" s="148">
        <f t="shared" si="12"/>
        <v>2.19</v>
      </c>
      <c r="J39" s="148">
        <f t="shared" si="12"/>
        <v>2.2799999999999998</v>
      </c>
      <c r="K39" s="151">
        <f t="shared" si="11"/>
        <v>2.1033333333333331</v>
      </c>
      <c r="L39" s="142">
        <f t="shared" si="11"/>
        <v>2.3199999999999998</v>
      </c>
      <c r="M39" s="143">
        <f t="shared" si="11"/>
        <v>2.4449999999999998</v>
      </c>
      <c r="N39" s="157">
        <f t="shared" si="1"/>
        <v>44195</v>
      </c>
      <c r="P39" s="144">
        <f t="shared" si="4"/>
        <v>-2.0000000000000018E-2</v>
      </c>
    </row>
    <row r="40" spans="1:16" ht="13" x14ac:dyDescent="0.3">
      <c r="A40" s="109">
        <f t="shared" si="5"/>
        <v>44196</v>
      </c>
      <c r="B40" s="145">
        <f t="shared" si="2"/>
        <v>2.0499999999999998</v>
      </c>
      <c r="C40" s="146">
        <f t="shared" si="6"/>
        <v>2.57</v>
      </c>
      <c r="D40" s="147">
        <f t="shared" si="7"/>
        <v>2.77</v>
      </c>
      <c r="E40" s="138">
        <v>2.12</v>
      </c>
      <c r="F40" s="139">
        <v>2.2149999999999999</v>
      </c>
      <c r="G40" s="140">
        <v>2.2799999999999998</v>
      </c>
      <c r="H40" s="148">
        <f t="shared" si="12"/>
        <v>2.12</v>
      </c>
      <c r="I40" s="148">
        <f t="shared" si="12"/>
        <v>2.19</v>
      </c>
      <c r="J40" s="148">
        <f t="shared" si="12"/>
        <v>2.2799999999999998</v>
      </c>
      <c r="K40" s="151">
        <f t="shared" si="11"/>
        <v>2.0966666666666667</v>
      </c>
      <c r="L40" s="142">
        <f t="shared" si="11"/>
        <v>2.3249999999999997</v>
      </c>
      <c r="M40" s="143">
        <f t="shared" si="11"/>
        <v>2.4433333333333334</v>
      </c>
      <c r="N40" s="157">
        <f t="shared" si="1"/>
        <v>44196</v>
      </c>
      <c r="P40" s="144">
        <f t="shared" si="4"/>
        <v>0</v>
      </c>
    </row>
    <row r="41" spans="1:16" x14ac:dyDescent="0.25">
      <c r="B41" s="145"/>
      <c r="C41" s="146"/>
      <c r="D41" s="147"/>
      <c r="E41" s="159"/>
      <c r="F41" s="160"/>
      <c r="G41" s="161"/>
      <c r="H41" s="159"/>
      <c r="I41" s="160"/>
      <c r="J41" s="161"/>
      <c r="K41" s="141"/>
      <c r="L41" s="142"/>
      <c r="M41" s="143"/>
    </row>
    <row r="42" spans="1:16" s="155" customFormat="1" ht="13" x14ac:dyDescent="0.3">
      <c r="A42" s="162" t="s">
        <v>102</v>
      </c>
      <c r="B42" s="163">
        <f t="shared" ref="B42:M42" si="13">AVERAGE(B10:B40)</f>
        <v>2.0499999999999989</v>
      </c>
      <c r="C42" s="163">
        <f t="shared" si="13"/>
        <v>2.5699999999999985</v>
      </c>
      <c r="D42" s="163">
        <f t="shared" si="13"/>
        <v>2.77</v>
      </c>
      <c r="E42" s="163">
        <f t="shared" si="13"/>
        <v>2.2325806451612906</v>
      </c>
      <c r="F42" s="163">
        <f t="shared" si="13"/>
        <v>2.415483870967742</v>
      </c>
      <c r="G42" s="163">
        <f t="shared" si="13"/>
        <v>2.5049999999999999</v>
      </c>
      <c r="H42" s="163">
        <f t="shared" si="13"/>
        <v>2.228387096774195</v>
      </c>
      <c r="I42" s="163">
        <f t="shared" si="13"/>
        <v>2.4180645161290331</v>
      </c>
      <c r="J42" s="163">
        <f t="shared" si="13"/>
        <v>2.5035483870967741</v>
      </c>
      <c r="K42" s="163">
        <f t="shared" si="13"/>
        <v>2.1703225806451605</v>
      </c>
      <c r="L42" s="163">
        <f t="shared" si="13"/>
        <v>2.4678494623655913</v>
      </c>
      <c r="M42" s="163">
        <f t="shared" si="13"/>
        <v>2.5928494623655909</v>
      </c>
      <c r="N42" s="164"/>
    </row>
    <row r="43" spans="1:16" x14ac:dyDescent="0.25">
      <c r="B43" s="165"/>
      <c r="C43" s="165"/>
      <c r="D43" s="165"/>
      <c r="E43" s="165"/>
      <c r="F43" s="165"/>
      <c r="G43" s="165"/>
      <c r="H43" s="165"/>
      <c r="I43" s="165"/>
      <c r="J43" s="165"/>
      <c r="K43" s="166"/>
      <c r="L43" s="167"/>
    </row>
    <row r="44" spans="1:16" x14ac:dyDescent="0.25">
      <c r="B44" s="165"/>
      <c r="C44" s="165"/>
      <c r="D44" s="165"/>
      <c r="E44" s="165"/>
      <c r="F44" s="165"/>
      <c r="G44" s="168"/>
      <c r="H44" s="169"/>
      <c r="I44" s="168"/>
      <c r="J44" s="165"/>
      <c r="K44" s="166"/>
      <c r="L44" s="167"/>
    </row>
    <row r="45" spans="1:16" x14ac:dyDescent="0.25">
      <c r="B45" s="165"/>
      <c r="C45" s="165"/>
      <c r="D45" s="165"/>
      <c r="E45" s="165"/>
      <c r="F45" s="165"/>
      <c r="G45" s="165"/>
      <c r="H45" s="165"/>
      <c r="I45" s="165"/>
      <c r="J45" s="165"/>
      <c r="K45" s="166"/>
      <c r="L45" s="167"/>
    </row>
    <row r="46" spans="1:16" x14ac:dyDescent="0.25">
      <c r="B46" s="165"/>
      <c r="C46" s="165"/>
      <c r="D46" s="165"/>
      <c r="E46" s="165"/>
      <c r="F46" s="165"/>
      <c r="G46" s="165"/>
      <c r="H46" s="165"/>
      <c r="I46" s="165"/>
      <c r="J46" s="165"/>
      <c r="K46" s="166"/>
      <c r="L46" s="167"/>
    </row>
    <row r="47" spans="1:16" x14ac:dyDescent="0.25">
      <c r="B47" s="165"/>
      <c r="C47" s="165"/>
      <c r="D47" s="165"/>
      <c r="E47" s="165"/>
      <c r="F47" s="165"/>
      <c r="G47" s="165"/>
      <c r="H47" s="165"/>
      <c r="I47" s="165"/>
      <c r="J47" s="165"/>
      <c r="K47" s="166"/>
      <c r="L47" s="167"/>
    </row>
    <row r="48" spans="1:16" ht="13" x14ac:dyDescent="0.3">
      <c r="A48" s="170" t="s">
        <v>103</v>
      </c>
      <c r="B48" s="171"/>
      <c r="C48" s="171"/>
      <c r="D48" s="171"/>
      <c r="E48" s="171"/>
      <c r="F48" s="171"/>
      <c r="G48" s="171"/>
      <c r="H48" s="171"/>
      <c r="I48" s="171"/>
      <c r="J48" s="172"/>
      <c r="K48" s="166"/>
      <c r="L48" s="167"/>
    </row>
    <row r="49" spans="1:17" x14ac:dyDescent="0.25">
      <c r="A49" s="173"/>
      <c r="B49" s="142"/>
      <c r="C49" s="142"/>
      <c r="D49" s="142"/>
      <c r="E49" s="142"/>
      <c r="F49" s="142"/>
      <c r="G49" s="142"/>
      <c r="H49" s="142"/>
      <c r="I49" s="142"/>
      <c r="J49" s="174"/>
      <c r="K49" s="166"/>
      <c r="L49" s="167"/>
    </row>
    <row r="50" spans="1:17" ht="14" x14ac:dyDescent="0.3">
      <c r="A50" s="175"/>
      <c r="B50" s="176"/>
      <c r="C50" s="176"/>
      <c r="D50" s="176"/>
      <c r="E50" s="177" t="s">
        <v>104</v>
      </c>
      <c r="F50" s="177" t="s">
        <v>104</v>
      </c>
      <c r="G50" s="177" t="s">
        <v>105</v>
      </c>
      <c r="H50" s="176"/>
      <c r="I50" s="176"/>
      <c r="J50" s="178"/>
      <c r="L50" s="167"/>
      <c r="M50" s="179"/>
    </row>
    <row r="51" spans="1:17" ht="15" customHeight="1" x14ac:dyDescent="0.3">
      <c r="A51" s="175"/>
      <c r="B51" s="180" t="s">
        <v>42</v>
      </c>
      <c r="C51" s="180" t="s">
        <v>106</v>
      </c>
      <c r="D51" s="176"/>
      <c r="E51" s="180" t="s">
        <v>107</v>
      </c>
      <c r="F51" s="180" t="s">
        <v>108</v>
      </c>
      <c r="G51" s="180" t="s">
        <v>108</v>
      </c>
      <c r="H51" s="205" t="s">
        <v>109</v>
      </c>
      <c r="I51" s="205"/>
      <c r="J51" s="178"/>
      <c r="K51" s="181"/>
      <c r="L51" s="182"/>
      <c r="M51" s="179"/>
    </row>
    <row r="52" spans="1:17" ht="15" customHeight="1" x14ac:dyDescent="0.3">
      <c r="A52" s="175"/>
      <c r="B52" s="176" t="s">
        <v>55</v>
      </c>
      <c r="C52" s="176" t="s">
        <v>110</v>
      </c>
      <c r="D52" s="176"/>
      <c r="E52" s="183">
        <f>718800-133300</f>
        <v>585500</v>
      </c>
      <c r="F52" s="184">
        <f>1607070.8-356710.8</f>
        <v>1250360</v>
      </c>
      <c r="G52" s="185">
        <f>E52*$K$42</f>
        <v>1270723.8709677414</v>
      </c>
      <c r="H52" s="176"/>
      <c r="I52" s="186">
        <f>G52-F52</f>
        <v>20363.870967741357</v>
      </c>
      <c r="J52" s="178"/>
      <c r="L52" s="167"/>
      <c r="M52" s="179"/>
    </row>
    <row r="53" spans="1:17" ht="14" x14ac:dyDescent="0.3">
      <c r="A53" s="175"/>
      <c r="B53" s="176" t="s">
        <v>111</v>
      </c>
      <c r="C53" s="176" t="s">
        <v>112</v>
      </c>
      <c r="D53" s="176"/>
      <c r="E53" s="183">
        <v>0</v>
      </c>
      <c r="F53" s="184">
        <v>0</v>
      </c>
      <c r="G53" s="185">
        <f>E53*$L$42</f>
        <v>0</v>
      </c>
      <c r="H53" s="176"/>
      <c r="I53" s="186">
        <f t="shared" ref="I53:I54" si="14">G53-F53</f>
        <v>0</v>
      </c>
      <c r="J53" s="178"/>
      <c r="L53" s="167"/>
      <c r="M53" s="179"/>
    </row>
    <row r="54" spans="1:17" s="103" customFormat="1" ht="14" x14ac:dyDescent="0.3">
      <c r="A54" s="175"/>
      <c r="B54" s="176" t="s">
        <v>113</v>
      </c>
      <c r="C54" s="176">
        <v>500</v>
      </c>
      <c r="D54" s="176"/>
      <c r="E54" s="183">
        <v>0</v>
      </c>
      <c r="F54" s="184">
        <v>0</v>
      </c>
      <c r="G54" s="185">
        <f>E54*$M$42</f>
        <v>0</v>
      </c>
      <c r="H54" s="176"/>
      <c r="I54" s="186">
        <f t="shared" si="14"/>
        <v>0</v>
      </c>
      <c r="J54" s="178"/>
      <c r="L54" s="167"/>
      <c r="M54" s="179"/>
      <c r="O54" s="104"/>
      <c r="P54" s="104"/>
      <c r="Q54" s="104"/>
    </row>
    <row r="55" spans="1:17" s="103" customFormat="1" ht="14.5" thickBot="1" x14ac:dyDescent="0.35">
      <c r="A55" s="175"/>
      <c r="B55" s="176"/>
      <c r="C55" s="176"/>
      <c r="D55" s="176"/>
      <c r="E55" s="183"/>
      <c r="F55" s="184"/>
      <c r="G55" s="176"/>
      <c r="H55" s="176"/>
      <c r="I55" s="176"/>
      <c r="J55" s="178"/>
      <c r="L55" s="167"/>
      <c r="M55" s="179"/>
      <c r="O55" s="104"/>
      <c r="P55" s="104"/>
      <c r="Q55" s="104"/>
    </row>
    <row r="56" spans="1:17" s="103" customFormat="1" ht="14.5" thickBot="1" x14ac:dyDescent="0.35">
      <c r="A56" s="175"/>
      <c r="B56" s="176"/>
      <c r="C56" s="176"/>
      <c r="D56" s="176"/>
      <c r="E56" s="183"/>
      <c r="F56" s="184"/>
      <c r="G56" s="176"/>
      <c r="H56" s="187"/>
      <c r="I56" s="188">
        <f>SUM(I52:I55)</f>
        <v>20363.870967741357</v>
      </c>
      <c r="J56" s="178"/>
      <c r="L56" s="167"/>
      <c r="M56" s="179"/>
      <c r="O56" s="104"/>
      <c r="P56" s="104"/>
      <c r="Q56" s="104"/>
    </row>
    <row r="57" spans="1:17" s="103" customFormat="1" ht="14" x14ac:dyDescent="0.3">
      <c r="A57" s="189"/>
      <c r="B57" s="190"/>
      <c r="C57" s="190"/>
      <c r="D57" s="190"/>
      <c r="E57" s="191"/>
      <c r="F57" s="190"/>
      <c r="G57" s="190"/>
      <c r="H57" s="190"/>
      <c r="I57" s="190"/>
      <c r="J57" s="192"/>
      <c r="L57" s="167"/>
      <c r="M57" s="179"/>
      <c r="O57" s="104"/>
      <c r="P57" s="104"/>
      <c r="Q57" s="104"/>
    </row>
    <row r="58" spans="1:17" s="103" customFormat="1" ht="14" x14ac:dyDescent="0.3">
      <c r="A58" s="109"/>
      <c r="L58" s="167"/>
      <c r="M58" s="179"/>
      <c r="O58" s="104"/>
      <c r="P58" s="104"/>
      <c r="Q58" s="104"/>
    </row>
    <row r="59" spans="1:17" s="103" customFormat="1" ht="14" x14ac:dyDescent="0.3">
      <c r="A59" s="193"/>
      <c r="L59" s="167"/>
      <c r="M59" s="179"/>
      <c r="O59" s="104"/>
      <c r="P59" s="104"/>
      <c r="Q59" s="104"/>
    </row>
    <row r="60" spans="1:17" s="103" customFormat="1" ht="14" x14ac:dyDescent="0.3">
      <c r="A60" s="109"/>
      <c r="L60" s="167"/>
      <c r="M60" s="179"/>
      <c r="O60" s="104"/>
      <c r="P60" s="104"/>
      <c r="Q60" s="104"/>
    </row>
    <row r="61" spans="1:17" s="103" customFormat="1" x14ac:dyDescent="0.25">
      <c r="A61" s="109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167"/>
      <c r="O61" s="104"/>
      <c r="P61" s="104"/>
      <c r="Q61" s="104"/>
    </row>
    <row r="62" spans="1:17" s="103" customFormat="1" ht="13" x14ac:dyDescent="0.3">
      <c r="A62" s="170" t="s">
        <v>114</v>
      </c>
      <c r="B62" s="171"/>
      <c r="C62" s="171"/>
      <c r="D62" s="171"/>
      <c r="E62" s="171"/>
      <c r="F62" s="171"/>
      <c r="G62" s="171"/>
      <c r="H62" s="171"/>
      <c r="I62" s="171"/>
      <c r="J62" s="172"/>
      <c r="K62" s="166"/>
      <c r="L62" s="167"/>
      <c r="O62" s="104"/>
      <c r="P62" s="104"/>
      <c r="Q62" s="104"/>
    </row>
    <row r="63" spans="1:17" s="103" customFormat="1" x14ac:dyDescent="0.25">
      <c r="A63" s="173"/>
      <c r="B63" s="142"/>
      <c r="C63" s="142"/>
      <c r="D63" s="142"/>
      <c r="E63" s="142"/>
      <c r="F63" s="142"/>
      <c r="G63" s="142"/>
      <c r="H63" s="142"/>
      <c r="I63" s="142"/>
      <c r="J63" s="174"/>
      <c r="K63" s="166"/>
      <c r="L63" s="167"/>
      <c r="O63" s="104"/>
      <c r="P63" s="104"/>
      <c r="Q63" s="104"/>
    </row>
    <row r="64" spans="1:17" s="103" customFormat="1" ht="13" x14ac:dyDescent="0.3">
      <c r="A64" s="175"/>
      <c r="B64" s="176"/>
      <c r="C64" s="176"/>
      <c r="D64" s="176"/>
      <c r="E64" s="177" t="s">
        <v>104</v>
      </c>
      <c r="F64" s="177" t="s">
        <v>104</v>
      </c>
      <c r="G64" s="177" t="s">
        <v>105</v>
      </c>
      <c r="H64" s="176"/>
      <c r="I64" s="176"/>
      <c r="J64" s="178"/>
      <c r="L64" s="167"/>
      <c r="M64" s="194"/>
      <c r="O64" s="104"/>
      <c r="P64" s="104"/>
      <c r="Q64" s="104"/>
    </row>
    <row r="65" spans="1:17" s="103" customFormat="1" ht="13" x14ac:dyDescent="0.3">
      <c r="A65" s="175"/>
      <c r="B65" s="180" t="s">
        <v>42</v>
      </c>
      <c r="C65" s="180" t="s">
        <v>106</v>
      </c>
      <c r="D65" s="176"/>
      <c r="E65" s="180" t="s">
        <v>107</v>
      </c>
      <c r="F65" s="180" t="s">
        <v>108</v>
      </c>
      <c r="G65" s="180" t="s">
        <v>108</v>
      </c>
      <c r="H65" s="205" t="s">
        <v>109</v>
      </c>
      <c r="I65" s="205"/>
      <c r="J65" s="178"/>
      <c r="L65" s="167"/>
      <c r="O65" s="104"/>
      <c r="P65" s="104"/>
      <c r="Q65" s="104"/>
    </row>
    <row r="66" spans="1:17" x14ac:dyDescent="0.25">
      <c r="A66" s="175"/>
      <c r="B66" s="176" t="s">
        <v>55</v>
      </c>
      <c r="C66" s="176" t="s">
        <v>110</v>
      </c>
      <c r="D66" s="176"/>
      <c r="E66" s="183">
        <f>718800-133300</f>
        <v>585500</v>
      </c>
      <c r="F66" s="184">
        <f>1607070.8-356710.8</f>
        <v>1250360</v>
      </c>
      <c r="G66" s="185">
        <f>E66*$K$42</f>
        <v>1270723.8709677414</v>
      </c>
      <c r="H66" s="176"/>
      <c r="I66" s="186">
        <f>G66-F66</f>
        <v>20363.870967741357</v>
      </c>
      <c r="J66" s="178"/>
    </row>
    <row r="67" spans="1:17" s="103" customFormat="1" x14ac:dyDescent="0.25">
      <c r="A67" s="175"/>
      <c r="B67" s="176" t="s">
        <v>111</v>
      </c>
      <c r="C67" s="176" t="s">
        <v>112</v>
      </c>
      <c r="D67" s="176"/>
      <c r="E67" s="183">
        <v>0</v>
      </c>
      <c r="F67" s="184">
        <v>0</v>
      </c>
      <c r="G67" s="185">
        <f>E67*$L$42</f>
        <v>0</v>
      </c>
      <c r="H67" s="176"/>
      <c r="I67" s="186">
        <f t="shared" ref="I67:I68" si="15">G67-F67</f>
        <v>0</v>
      </c>
      <c r="J67" s="178"/>
      <c r="K67" s="166"/>
      <c r="L67" s="167"/>
      <c r="O67" s="104"/>
      <c r="P67" s="104"/>
      <c r="Q67" s="104"/>
    </row>
    <row r="68" spans="1:17" s="103" customFormat="1" x14ac:dyDescent="0.25">
      <c r="A68" s="175"/>
      <c r="B68" s="176" t="s">
        <v>113</v>
      </c>
      <c r="C68" s="176">
        <v>500</v>
      </c>
      <c r="D68" s="176"/>
      <c r="E68" s="183">
        <v>0</v>
      </c>
      <c r="F68" s="184">
        <v>0</v>
      </c>
      <c r="G68" s="185">
        <f>E68*$M$42</f>
        <v>0</v>
      </c>
      <c r="H68" s="176"/>
      <c r="I68" s="186">
        <f t="shared" si="15"/>
        <v>0</v>
      </c>
      <c r="J68" s="178"/>
      <c r="K68" s="166"/>
      <c r="L68" s="167"/>
      <c r="O68" s="104"/>
      <c r="P68" s="104"/>
      <c r="Q68" s="104"/>
    </row>
    <row r="69" spans="1:17" s="103" customFormat="1" ht="13" thickBot="1" x14ac:dyDescent="0.3">
      <c r="A69" s="175"/>
      <c r="B69" s="176"/>
      <c r="C69" s="176"/>
      <c r="D69" s="176"/>
      <c r="E69" s="183"/>
      <c r="F69" s="184"/>
      <c r="G69" s="176"/>
      <c r="H69" s="176"/>
      <c r="I69" s="176"/>
      <c r="J69" s="178"/>
      <c r="K69" s="166"/>
      <c r="L69" s="167"/>
      <c r="O69" s="104"/>
      <c r="P69" s="104"/>
      <c r="Q69" s="104"/>
    </row>
    <row r="70" spans="1:17" s="103" customFormat="1" ht="13" thickBot="1" x14ac:dyDescent="0.3">
      <c r="A70" s="175"/>
      <c r="B70" s="176"/>
      <c r="C70" s="176"/>
      <c r="D70" s="176"/>
      <c r="E70" s="183"/>
      <c r="F70" s="184"/>
      <c r="G70" s="176"/>
      <c r="H70" s="187"/>
      <c r="I70" s="188">
        <f>SUM(I66:I69)</f>
        <v>20363.870967741357</v>
      </c>
      <c r="J70" s="178"/>
      <c r="L70" s="167"/>
      <c r="M70" s="194"/>
      <c r="O70" s="104"/>
      <c r="P70" s="104"/>
      <c r="Q70" s="104"/>
    </row>
    <row r="71" spans="1:17" s="103" customFormat="1" x14ac:dyDescent="0.25">
      <c r="A71" s="189"/>
      <c r="B71" s="190"/>
      <c r="C71" s="190"/>
      <c r="D71" s="190"/>
      <c r="E71" s="191"/>
      <c r="F71" s="190"/>
      <c r="G71" s="190"/>
      <c r="H71" s="190"/>
      <c r="I71" s="190"/>
      <c r="J71" s="192"/>
      <c r="L71" s="167"/>
      <c r="O71" s="104"/>
      <c r="P71" s="104"/>
      <c r="Q71" s="104"/>
    </row>
    <row r="72" spans="1:17" s="103" customFormat="1" x14ac:dyDescent="0.25">
      <c r="A72" s="109"/>
      <c r="L72" s="167"/>
      <c r="O72" s="104"/>
      <c r="P72" s="104"/>
      <c r="Q72" s="104"/>
    </row>
    <row r="73" spans="1:17" ht="13" x14ac:dyDescent="0.3">
      <c r="A73" s="193"/>
    </row>
    <row r="74" spans="1:17" s="103" customFormat="1" x14ac:dyDescent="0.25">
      <c r="A74" s="109"/>
      <c r="L74" s="167"/>
      <c r="M74" s="194"/>
      <c r="O74" s="104"/>
      <c r="P74" s="104"/>
      <c r="Q74" s="104"/>
    </row>
    <row r="75" spans="1:17" s="103" customFormat="1" x14ac:dyDescent="0.25">
      <c r="A75" s="109"/>
      <c r="B75" s="165"/>
      <c r="C75" s="165"/>
      <c r="D75" s="165"/>
      <c r="E75" s="165"/>
      <c r="F75" s="165"/>
      <c r="G75" s="165"/>
      <c r="H75" s="165"/>
      <c r="I75" s="165"/>
      <c r="J75" s="165"/>
      <c r="K75" s="166"/>
      <c r="L75" s="167"/>
      <c r="O75" s="104"/>
      <c r="P75" s="104"/>
      <c r="Q75" s="104"/>
    </row>
    <row r="76" spans="1:17" s="103" customFormat="1" x14ac:dyDescent="0.25">
      <c r="A76" s="109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7"/>
      <c r="M76" s="165"/>
      <c r="O76" s="104"/>
      <c r="P76" s="104"/>
      <c r="Q76" s="104"/>
    </row>
    <row r="77" spans="1:17" s="103" customFormat="1" x14ac:dyDescent="0.25">
      <c r="A77" s="109"/>
      <c r="B77" s="165"/>
      <c r="C77" s="165"/>
      <c r="D77" s="165"/>
      <c r="E77" s="165"/>
      <c r="F77" s="165"/>
      <c r="G77" s="165"/>
      <c r="H77" s="165"/>
      <c r="I77" s="165"/>
      <c r="J77" s="165"/>
      <c r="K77" s="166"/>
      <c r="L77" s="167"/>
      <c r="O77" s="104"/>
      <c r="P77" s="104"/>
      <c r="Q77" s="104"/>
    </row>
    <row r="78" spans="1:17" s="103" customFormat="1" x14ac:dyDescent="0.25">
      <c r="A78" s="109"/>
      <c r="B78" s="165"/>
      <c r="C78" s="165"/>
      <c r="D78" s="165"/>
      <c r="E78" s="165"/>
      <c r="F78" s="165"/>
      <c r="G78" s="165"/>
      <c r="H78" s="165"/>
      <c r="I78" s="165"/>
      <c r="J78" s="165"/>
      <c r="K78" s="166"/>
      <c r="L78" s="167"/>
      <c r="M78" s="194"/>
      <c r="O78" s="104"/>
      <c r="P78" s="104"/>
      <c r="Q78" s="104"/>
    </row>
    <row r="79" spans="1:17" s="103" customFormat="1" x14ac:dyDescent="0.25">
      <c r="A79" s="109"/>
      <c r="B79" s="165"/>
      <c r="C79" s="165"/>
      <c r="D79" s="165"/>
      <c r="E79" s="165"/>
      <c r="F79" s="165"/>
      <c r="G79" s="165"/>
      <c r="H79" s="165"/>
      <c r="I79" s="165"/>
      <c r="J79" s="165"/>
      <c r="K79" s="166"/>
      <c r="L79" s="167"/>
      <c r="O79" s="104"/>
      <c r="P79" s="104"/>
      <c r="Q79" s="104"/>
    </row>
    <row r="80" spans="1:17" s="103" customFormat="1" x14ac:dyDescent="0.25">
      <c r="A80" s="109"/>
      <c r="L80" s="167"/>
      <c r="O80" s="104"/>
      <c r="P80" s="104"/>
      <c r="Q80" s="104"/>
    </row>
    <row r="81" spans="1:17" s="103" customFormat="1" x14ac:dyDescent="0.25">
      <c r="A81" s="109"/>
      <c r="L81" s="167"/>
      <c r="O81" s="104"/>
      <c r="P81" s="104"/>
      <c r="Q81" s="104"/>
    </row>
    <row r="82" spans="1:17" s="103" customFormat="1" x14ac:dyDescent="0.25">
      <c r="A82" s="109"/>
      <c r="B82" s="165"/>
      <c r="C82" s="165"/>
      <c r="D82" s="165"/>
      <c r="E82" s="165"/>
      <c r="F82" s="165"/>
      <c r="G82" s="165"/>
      <c r="H82" s="165"/>
      <c r="I82" s="165"/>
      <c r="J82" s="165"/>
      <c r="L82" s="167"/>
      <c r="M82" s="194"/>
      <c r="O82" s="104"/>
      <c r="P82" s="104"/>
      <c r="Q82" s="104"/>
    </row>
  </sheetData>
  <mergeCells count="8">
    <mergeCell ref="H51:I51"/>
    <mergeCell ref="H65:I65"/>
    <mergeCell ref="H6:J6"/>
    <mergeCell ref="K6:M6"/>
    <mergeCell ref="B7:D7"/>
    <mergeCell ref="E7:G7"/>
    <mergeCell ref="H7:J7"/>
    <mergeCell ref="K7:M7"/>
  </mergeCells>
  <pageMargins left="0" right="0" top="0.53" bottom="0.74" header="0.21" footer="0.4"/>
  <pageSetup scale="74" fitToHeight="0" orientation="portrait" r:id="rId1"/>
  <headerFooter alignWithMargins="0">
    <oddHeader xml:space="preserve">&amp;RKY PSC CN 2020-00378  
 Staff's Data Request Set 1 No. 5 Attachment D 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zoomScaleSheetLayoutView="100" workbookViewId="0">
      <selection activeCell="H2" sqref="H2"/>
    </sheetView>
  </sheetViews>
  <sheetFormatPr defaultColWidth="9.1796875" defaultRowHeight="15.5" x14ac:dyDescent="0.35"/>
  <cols>
    <col min="1" max="1" width="4.26953125" style="2" customWidth="1"/>
    <col min="2" max="2" width="16.7265625" style="2" customWidth="1"/>
    <col min="3" max="3" width="18.54296875" style="2" customWidth="1"/>
    <col min="4" max="4" width="16.1796875" style="2" customWidth="1"/>
    <col min="5" max="5" width="5.54296875" style="2" customWidth="1"/>
    <col min="6" max="6" width="18" style="2" customWidth="1"/>
    <col min="7" max="7" width="5.1796875" style="2" customWidth="1"/>
    <col min="8" max="8" width="32.54296875" style="2" customWidth="1"/>
    <col min="9" max="9" width="12" style="2" bestFit="1" customWidth="1"/>
    <col min="10" max="16384" width="9.1796875" style="2"/>
  </cols>
  <sheetData>
    <row r="1" spans="1:8" ht="18.5" x14ac:dyDescent="0.45">
      <c r="A1" s="1" t="s">
        <v>0</v>
      </c>
    </row>
    <row r="2" spans="1:8" ht="18.5" x14ac:dyDescent="0.45">
      <c r="A2" s="1" t="s">
        <v>1</v>
      </c>
    </row>
    <row r="3" spans="1:8" ht="18.5" x14ac:dyDescent="0.45">
      <c r="A3" s="3" t="s">
        <v>2</v>
      </c>
      <c r="C3" s="4">
        <v>44197</v>
      </c>
    </row>
    <row r="5" spans="1:8" x14ac:dyDescent="0.35">
      <c r="B5" s="5"/>
      <c r="C5" s="5"/>
      <c r="D5" s="6">
        <f>C3</f>
        <v>44197</v>
      </c>
      <c r="E5" s="7"/>
      <c r="F5" s="6">
        <f>C3</f>
        <v>44197</v>
      </c>
      <c r="G5" s="6"/>
      <c r="H5" s="7"/>
    </row>
    <row r="6" spans="1:8" x14ac:dyDescent="0.35">
      <c r="A6" s="8" t="s">
        <v>3</v>
      </c>
      <c r="B6" s="9" t="s">
        <v>4</v>
      </c>
      <c r="C6" s="9"/>
      <c r="D6" s="10" t="s">
        <v>5</v>
      </c>
      <c r="E6" s="11"/>
      <c r="F6" s="10" t="s">
        <v>6</v>
      </c>
      <c r="G6" s="10"/>
      <c r="H6" s="12"/>
    </row>
    <row r="7" spans="1:8" x14ac:dyDescent="0.35">
      <c r="A7" s="13">
        <v>1</v>
      </c>
      <c r="B7" s="12" t="s">
        <v>7</v>
      </c>
      <c r="C7" s="12"/>
      <c r="D7" s="14">
        <f>D24*0.3</f>
        <v>18175.568339999998</v>
      </c>
      <c r="E7" s="15"/>
      <c r="F7" s="14" t="e">
        <f>F24*0.3</f>
        <v>#DIV/0!</v>
      </c>
      <c r="G7" s="15"/>
      <c r="H7" s="16" t="s">
        <v>8</v>
      </c>
    </row>
    <row r="8" spans="1:8" x14ac:dyDescent="0.35">
      <c r="A8" s="13">
        <f>A7+1</f>
        <v>2</v>
      </c>
      <c r="B8" s="12" t="s">
        <v>7</v>
      </c>
      <c r="C8" s="12"/>
      <c r="D8" s="17">
        <f>IF(D24&gt;0,(D16-D24)*0.5,0)</f>
        <v>265097.50109999999</v>
      </c>
      <c r="E8" s="18"/>
      <c r="F8" s="17" t="e">
        <f>IF(F24&gt;0,(F16-F24)*0.5,0)</f>
        <v>#DIV/0!</v>
      </c>
      <c r="G8" s="18"/>
      <c r="H8" s="16" t="s">
        <v>9</v>
      </c>
    </row>
    <row r="9" spans="1:8" x14ac:dyDescent="0.35">
      <c r="A9" s="13">
        <f>A8+1</f>
        <v>3</v>
      </c>
      <c r="B9" s="19" t="s">
        <v>10</v>
      </c>
      <c r="C9" s="19"/>
      <c r="D9" s="20">
        <f>D7+D8</f>
        <v>283273.06943999999</v>
      </c>
      <c r="E9" s="21"/>
      <c r="F9" s="20" t="e">
        <f>F7+F8</f>
        <v>#DIV/0!</v>
      </c>
      <c r="G9" s="21"/>
      <c r="H9" s="22"/>
    </row>
    <row r="10" spans="1:8" x14ac:dyDescent="0.35">
      <c r="A10" s="13"/>
      <c r="B10" s="12"/>
      <c r="C10" s="12"/>
      <c r="D10" s="23"/>
      <c r="E10" s="24"/>
      <c r="F10" s="24"/>
      <c r="G10" s="24"/>
      <c r="H10" s="22"/>
    </row>
    <row r="11" spans="1:8" x14ac:dyDescent="0.35">
      <c r="A11" s="13">
        <f>A9+1</f>
        <v>4</v>
      </c>
      <c r="B11" s="12" t="s">
        <v>11</v>
      </c>
      <c r="C11" s="12"/>
      <c r="D11" s="25">
        <v>427098.24</v>
      </c>
      <c r="E11" s="26"/>
      <c r="F11" s="25">
        <v>0</v>
      </c>
      <c r="G11" s="27"/>
      <c r="H11" s="22"/>
    </row>
    <row r="12" spans="1:8" x14ac:dyDescent="0.35">
      <c r="A12" s="13">
        <f>A11+1</f>
        <v>5</v>
      </c>
      <c r="B12" s="12" t="s">
        <v>12</v>
      </c>
      <c r="C12" s="12"/>
      <c r="D12" s="29">
        <v>26861.040000000001</v>
      </c>
      <c r="E12" s="30"/>
      <c r="F12" s="25">
        <v>0</v>
      </c>
      <c r="G12" s="31"/>
      <c r="H12" s="22"/>
    </row>
    <row r="13" spans="1:8" x14ac:dyDescent="0.35">
      <c r="A13" s="13">
        <f>A12+1</f>
        <v>6</v>
      </c>
      <c r="B13" s="12" t="s">
        <v>13</v>
      </c>
      <c r="C13" s="32" t="s">
        <v>14</v>
      </c>
      <c r="D13" s="29">
        <v>19760.25</v>
      </c>
      <c r="E13" s="30"/>
      <c r="F13" s="25">
        <v>0</v>
      </c>
      <c r="G13" s="31"/>
      <c r="H13" s="33"/>
    </row>
    <row r="14" spans="1:8" x14ac:dyDescent="0.35">
      <c r="A14" s="13"/>
      <c r="B14" s="12"/>
      <c r="C14" s="32" t="s">
        <v>15</v>
      </c>
      <c r="D14" s="29">
        <v>117060.7</v>
      </c>
      <c r="E14" s="34" t="s">
        <v>16</v>
      </c>
      <c r="F14" s="29">
        <v>0</v>
      </c>
      <c r="G14" s="31"/>
      <c r="H14" s="33"/>
    </row>
    <row r="15" spans="1:8" x14ac:dyDescent="0.35">
      <c r="A15" s="13"/>
      <c r="B15" s="12"/>
      <c r="D15" s="35"/>
      <c r="E15" s="30"/>
      <c r="F15" s="31"/>
      <c r="G15" s="31"/>
      <c r="H15" s="36"/>
    </row>
    <row r="16" spans="1:8" x14ac:dyDescent="0.35">
      <c r="A16" s="13">
        <v>7</v>
      </c>
      <c r="B16" s="12" t="s">
        <v>17</v>
      </c>
      <c r="C16" s="12"/>
      <c r="D16" s="37">
        <f>D11+D12+D13+D14</f>
        <v>590780.23</v>
      </c>
      <c r="E16" s="15"/>
      <c r="F16" s="14">
        <f>F11+F12+F13+F14</f>
        <v>0</v>
      </c>
      <c r="G16" s="15"/>
      <c r="H16" s="28"/>
    </row>
    <row r="17" spans="1:9" x14ac:dyDescent="0.35">
      <c r="D17" s="38"/>
      <c r="H17" s="28"/>
    </row>
    <row r="18" spans="1:9" x14ac:dyDescent="0.35">
      <c r="A18" s="13">
        <f>A16+1</f>
        <v>8</v>
      </c>
      <c r="B18" s="12" t="s">
        <v>18</v>
      </c>
      <c r="C18" s="12"/>
      <c r="D18" s="37">
        <f>D19+D20+D21+D22</f>
        <v>3029261.39</v>
      </c>
      <c r="E18" s="31"/>
      <c r="F18" s="37">
        <f>F19+F20+F21+F22</f>
        <v>0</v>
      </c>
      <c r="G18" s="31"/>
      <c r="H18" s="39"/>
    </row>
    <row r="19" spans="1:9" x14ac:dyDescent="0.35">
      <c r="A19" s="13"/>
      <c r="B19" s="12"/>
      <c r="C19" s="12" t="s">
        <v>19</v>
      </c>
      <c r="D19" s="29">
        <f>1729325.3-282387.2</f>
        <v>1446938.1</v>
      </c>
      <c r="E19" s="31"/>
      <c r="F19" s="29">
        <v>0</v>
      </c>
      <c r="G19" s="31"/>
      <c r="H19" s="39"/>
      <c r="I19" s="39"/>
    </row>
    <row r="20" spans="1:9" x14ac:dyDescent="0.35">
      <c r="A20" s="13"/>
      <c r="B20" s="12"/>
      <c r="C20" s="12" t="s">
        <v>20</v>
      </c>
      <c r="D20" s="29">
        <v>106599.7</v>
      </c>
      <c r="E20" s="31" t="s">
        <v>21</v>
      </c>
      <c r="F20" s="29">
        <v>0</v>
      </c>
      <c r="G20" s="31" t="s">
        <v>22</v>
      </c>
    </row>
    <row r="21" spans="1:9" x14ac:dyDescent="0.35">
      <c r="A21" s="13"/>
      <c r="B21" s="12"/>
      <c r="C21" s="12" t="s">
        <v>23</v>
      </c>
      <c r="D21" s="29">
        <v>0</v>
      </c>
      <c r="E21" s="31"/>
      <c r="F21" s="29">
        <v>0</v>
      </c>
      <c r="G21" s="31"/>
    </row>
    <row r="22" spans="1:9" x14ac:dyDescent="0.35">
      <c r="A22" s="13"/>
      <c r="B22" s="12"/>
      <c r="C22" s="12" t="s">
        <v>24</v>
      </c>
      <c r="D22" s="29">
        <v>1475723.59</v>
      </c>
      <c r="E22" s="31"/>
      <c r="F22" s="29">
        <v>0</v>
      </c>
      <c r="G22" s="31"/>
    </row>
    <row r="23" spans="1:9" x14ac:dyDescent="0.35">
      <c r="A23" s="13"/>
      <c r="B23" s="12"/>
      <c r="C23" s="12"/>
      <c r="D23" s="29"/>
      <c r="E23" s="31"/>
      <c r="F23" s="29"/>
      <c r="G23" s="31"/>
    </row>
    <row r="24" spans="1:9" x14ac:dyDescent="0.35">
      <c r="A24" s="13">
        <v>9</v>
      </c>
      <c r="B24" s="12" t="s">
        <v>25</v>
      </c>
      <c r="C24" s="12"/>
      <c r="D24" s="28">
        <f>IF((D16/D18)&gt;=0.02,0.02*D18,D16)</f>
        <v>60585.227800000001</v>
      </c>
      <c r="E24" s="40"/>
      <c r="F24" s="28" t="e">
        <f>IF((F16/F18)&gt;=0.02,0.02*F18,F16)</f>
        <v>#DIV/0!</v>
      </c>
      <c r="G24" s="40"/>
      <c r="H24" s="12"/>
    </row>
    <row r="25" spans="1:9" x14ac:dyDescent="0.35">
      <c r="A25" s="13"/>
      <c r="B25" s="12"/>
      <c r="C25" s="12"/>
      <c r="D25" s="40"/>
      <c r="E25" s="40"/>
      <c r="F25" s="40"/>
      <c r="G25" s="40"/>
      <c r="H25" s="12"/>
    </row>
    <row r="26" spans="1:9" x14ac:dyDescent="0.35">
      <c r="A26" s="13">
        <f>A24+1</f>
        <v>10</v>
      </c>
      <c r="B26" s="12" t="s">
        <v>26</v>
      </c>
      <c r="C26" s="12"/>
      <c r="D26" s="41">
        <f>(D11+D12+D13+D14)/D18</f>
        <v>0.19502451387993294</v>
      </c>
      <c r="E26" s="41"/>
      <c r="F26" s="41" t="e">
        <f>(F11+F12+F13+F14)/F18</f>
        <v>#DIV/0!</v>
      </c>
      <c r="G26" s="41"/>
      <c r="H26" s="12"/>
    </row>
    <row r="27" spans="1:9" x14ac:dyDescent="0.35">
      <c r="B27" s="12"/>
      <c r="C27" s="12"/>
      <c r="D27" s="41"/>
      <c r="E27" s="41"/>
      <c r="F27" s="41"/>
      <c r="G27" s="41"/>
      <c r="H27" s="12"/>
    </row>
    <row r="28" spans="1:9" x14ac:dyDescent="0.35">
      <c r="B28" s="12"/>
      <c r="C28" s="12"/>
      <c r="D28" s="41"/>
      <c r="E28" s="41"/>
      <c r="F28" s="41"/>
      <c r="G28" s="41"/>
      <c r="H28" s="12"/>
    </row>
    <row r="29" spans="1:9" x14ac:dyDescent="0.35">
      <c r="A29" s="197" t="s">
        <v>27</v>
      </c>
      <c r="B29" s="197"/>
      <c r="C29" s="42"/>
    </row>
    <row r="30" spans="1:9" ht="15.75" customHeight="1" x14ac:dyDescent="0.35">
      <c r="A30" s="43" t="s">
        <v>28</v>
      </c>
      <c r="B30" s="44"/>
      <c r="C30" s="44"/>
      <c r="D30" s="45" t="s">
        <v>29</v>
      </c>
    </row>
    <row r="31" spans="1:9" ht="15.75" customHeight="1" x14ac:dyDescent="0.35">
      <c r="A31" s="43" t="s">
        <v>30</v>
      </c>
      <c r="B31" s="43"/>
      <c r="C31" s="44"/>
    </row>
    <row r="32" spans="1:9" ht="15" customHeight="1" x14ac:dyDescent="0.35">
      <c r="A32" s="43" t="s">
        <v>31</v>
      </c>
      <c r="B32" s="43"/>
      <c r="C32" s="44"/>
    </row>
    <row r="33" spans="1:3" ht="15.75" customHeight="1" x14ac:dyDescent="0.35">
      <c r="A33" s="43" t="s">
        <v>32</v>
      </c>
      <c r="B33" s="43"/>
      <c r="C33" s="44"/>
    </row>
    <row r="34" spans="1:3" ht="15.75" customHeight="1" x14ac:dyDescent="0.35">
      <c r="A34" s="43" t="s">
        <v>33</v>
      </c>
      <c r="B34" s="43"/>
      <c r="C34" s="44"/>
    </row>
    <row r="35" spans="1:3" ht="15.75" customHeight="1" x14ac:dyDescent="0.35">
      <c r="A35" s="43" t="s">
        <v>34</v>
      </c>
      <c r="B35" s="43"/>
      <c r="C35" s="44"/>
    </row>
    <row r="36" spans="1:3" ht="15.75" customHeight="1" x14ac:dyDescent="0.35">
      <c r="A36" s="43" t="s">
        <v>35</v>
      </c>
      <c r="B36" s="43"/>
      <c r="C36" s="44"/>
    </row>
    <row r="37" spans="1:3" ht="15.75" customHeight="1" x14ac:dyDescent="0.35">
      <c r="A37" s="43" t="s">
        <v>36</v>
      </c>
      <c r="B37" s="43"/>
      <c r="C37" s="44"/>
    </row>
    <row r="39" spans="1:3" x14ac:dyDescent="0.35">
      <c r="A39" s="46" t="s">
        <v>37</v>
      </c>
    </row>
    <row r="41" spans="1:3" x14ac:dyDescent="0.35">
      <c r="A41" s="47"/>
    </row>
    <row r="42" spans="1:3" x14ac:dyDescent="0.35">
      <c r="A42" s="47"/>
    </row>
    <row r="43" spans="1:3" x14ac:dyDescent="0.35">
      <c r="A43" s="47"/>
    </row>
  </sheetData>
  <mergeCells count="1">
    <mergeCell ref="A29:B29"/>
  </mergeCells>
  <pageMargins left="0.25" right="0.25" top="0.75" bottom="0.75" header="0.3" footer="0.3"/>
  <pageSetup scale="86" orientation="portrait" r:id="rId1"/>
  <headerFooter>
    <oddHeader xml:space="preserve">&amp;RKY PSC CN 2020-00378  
 Staff's Data Request Set 1 No. 5 Attachment D  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Layout" zoomScaleNormal="100" workbookViewId="0">
      <selection activeCell="L2" sqref="L2"/>
    </sheetView>
  </sheetViews>
  <sheetFormatPr defaultRowHeight="14.5" x14ac:dyDescent="0.35"/>
  <cols>
    <col min="1" max="1" width="15.26953125" customWidth="1"/>
    <col min="2" max="2" width="14.81640625" style="48" customWidth="1"/>
    <col min="3" max="3" width="9.26953125" style="48" customWidth="1"/>
    <col min="4" max="4" width="9.81640625" style="48" customWidth="1"/>
    <col min="5" max="5" width="7.81640625" style="48" customWidth="1"/>
    <col min="6" max="6" width="9.7265625" style="48" customWidth="1"/>
    <col min="7" max="7" width="10" style="49" customWidth="1"/>
    <col min="8" max="8" width="23.54296875" customWidth="1"/>
    <col min="9" max="9" width="1.453125" customWidth="1"/>
    <col min="10" max="10" width="15.26953125" style="50" customWidth="1"/>
    <col min="11" max="11" width="4.1796875" style="50" bestFit="1" customWidth="1"/>
    <col min="12" max="12" width="22.453125" customWidth="1"/>
    <col min="14" max="14" width="16" customWidth="1"/>
    <col min="15" max="15" width="12.81640625" customWidth="1"/>
    <col min="16" max="16" width="11.81640625" bestFit="1" customWidth="1"/>
  </cols>
  <sheetData>
    <row r="1" spans="1:14" ht="18.5" x14ac:dyDescent="0.45">
      <c r="A1" s="1" t="s">
        <v>38</v>
      </c>
    </row>
    <row r="2" spans="1:14" ht="18.5" x14ac:dyDescent="0.45">
      <c r="A2" s="1"/>
    </row>
    <row r="3" spans="1:14" ht="18.5" x14ac:dyDescent="0.45">
      <c r="A3" s="1" t="s">
        <v>39</v>
      </c>
      <c r="B3" s="51">
        <f>'January 21 TCPS CALC'!C3</f>
        <v>44197</v>
      </c>
      <c r="C3" s="52"/>
    </row>
    <row r="5" spans="1:14" x14ac:dyDescent="0.35">
      <c r="D5" s="53" t="s">
        <v>40</v>
      </c>
      <c r="E5" s="53" t="s">
        <v>41</v>
      </c>
    </row>
    <row r="6" spans="1:14" x14ac:dyDescent="0.35">
      <c r="C6" s="54" t="s">
        <v>42</v>
      </c>
      <c r="D6" s="54" t="s">
        <v>43</v>
      </c>
      <c r="E6" s="54" t="s">
        <v>44</v>
      </c>
      <c r="F6" s="54" t="s">
        <v>45</v>
      </c>
      <c r="G6" s="55" t="s">
        <v>46</v>
      </c>
      <c r="H6" s="54" t="s">
        <v>47</v>
      </c>
      <c r="J6" s="56" t="s">
        <v>48</v>
      </c>
      <c r="K6" s="56"/>
      <c r="L6" s="56" t="s">
        <v>49</v>
      </c>
    </row>
    <row r="7" spans="1:14" x14ac:dyDescent="0.35">
      <c r="A7" t="s">
        <v>50</v>
      </c>
      <c r="B7" s="48" t="s">
        <v>51</v>
      </c>
      <c r="C7" s="48" t="s">
        <v>52</v>
      </c>
      <c r="D7" s="48">
        <v>352234</v>
      </c>
      <c r="E7" s="48" t="s">
        <v>53</v>
      </c>
      <c r="F7" s="57">
        <v>16000</v>
      </c>
      <c r="G7" s="58">
        <v>4.5805999999999996</v>
      </c>
      <c r="H7" s="59" t="s">
        <v>54</v>
      </c>
      <c r="J7" s="50">
        <f>F7*G7</f>
        <v>73289.599999999991</v>
      </c>
      <c r="K7" s="60"/>
      <c r="L7" s="50">
        <v>0</v>
      </c>
      <c r="M7" s="61"/>
      <c r="N7" s="50"/>
    </row>
    <row r="8" spans="1:14" x14ac:dyDescent="0.35">
      <c r="C8" s="48" t="s">
        <v>55</v>
      </c>
      <c r="D8" s="48">
        <v>80160</v>
      </c>
      <c r="E8" s="48" t="s">
        <v>56</v>
      </c>
      <c r="F8" s="57">
        <v>209880</v>
      </c>
      <c r="G8" s="195">
        <v>4.8621999999999996</v>
      </c>
      <c r="H8" s="59" t="s">
        <v>54</v>
      </c>
      <c r="J8" s="62">
        <f>F8*G8</f>
        <v>1020478.536</v>
      </c>
      <c r="K8" s="63"/>
      <c r="L8" s="62">
        <v>0</v>
      </c>
      <c r="N8" s="50"/>
    </row>
    <row r="9" spans="1:14" x14ac:dyDescent="0.35">
      <c r="F9" s="57"/>
      <c r="G9" s="58"/>
      <c r="H9" s="64" t="s">
        <v>57</v>
      </c>
      <c r="I9" s="65"/>
      <c r="J9" s="66">
        <f>SUM(J7:J8)</f>
        <v>1093768.1359999999</v>
      </c>
      <c r="K9" s="67"/>
      <c r="L9" s="66">
        <f>SUM(L7:L8)</f>
        <v>0</v>
      </c>
    </row>
    <row r="10" spans="1:14" x14ac:dyDescent="0.35">
      <c r="D10" s="48">
        <v>0</v>
      </c>
      <c r="F10" s="57"/>
      <c r="G10" s="58"/>
      <c r="H10" s="59"/>
      <c r="K10" s="68"/>
      <c r="L10" s="50"/>
    </row>
    <row r="11" spans="1:14" x14ac:dyDescent="0.35">
      <c r="D11" s="48">
        <v>0</v>
      </c>
      <c r="F11" s="69"/>
      <c r="G11" s="70" t="s">
        <v>58</v>
      </c>
      <c r="H11" s="59"/>
      <c r="K11" s="68"/>
      <c r="L11" s="50"/>
    </row>
    <row r="12" spans="1:14" x14ac:dyDescent="0.35">
      <c r="A12" t="s">
        <v>59</v>
      </c>
      <c r="B12" s="48" t="s">
        <v>60</v>
      </c>
      <c r="C12" s="48" t="s">
        <v>52</v>
      </c>
      <c r="D12" s="48">
        <v>352234</v>
      </c>
      <c r="E12" s="48" t="s">
        <v>53</v>
      </c>
      <c r="F12" s="57">
        <v>16000</v>
      </c>
      <c r="G12" s="58">
        <v>4.5805999999999996</v>
      </c>
      <c r="H12" s="59" t="s">
        <v>61</v>
      </c>
      <c r="J12" s="50">
        <f>F12*G12</f>
        <v>73289.599999999991</v>
      </c>
      <c r="K12" s="60"/>
      <c r="L12" s="71">
        <v>0</v>
      </c>
      <c r="N12" s="50"/>
    </row>
    <row r="13" spans="1:14" x14ac:dyDescent="0.35">
      <c r="C13" s="48" t="s">
        <v>55</v>
      </c>
      <c r="D13" s="48">
        <v>80160</v>
      </c>
      <c r="E13" s="48" t="s">
        <v>56</v>
      </c>
      <c r="F13" s="57">
        <v>209880</v>
      </c>
      <c r="G13" s="58">
        <v>4.1849999999999996</v>
      </c>
      <c r="H13" s="59" t="s">
        <v>61</v>
      </c>
      <c r="J13" s="62">
        <f>F13*G13</f>
        <v>878347.79999999993</v>
      </c>
      <c r="K13" s="63"/>
      <c r="L13" s="71">
        <v>0</v>
      </c>
      <c r="N13" s="50"/>
    </row>
    <row r="14" spans="1:14" x14ac:dyDescent="0.35">
      <c r="F14" s="57"/>
      <c r="G14" s="58"/>
      <c r="H14" s="72" t="s">
        <v>62</v>
      </c>
      <c r="I14" s="73"/>
      <c r="J14" s="66">
        <f>SUM(J12:J13)</f>
        <v>951637.39999999991</v>
      </c>
      <c r="K14" s="74"/>
      <c r="L14" s="75">
        <f>SUM(L12:L13)</f>
        <v>0</v>
      </c>
      <c r="N14" s="50"/>
    </row>
    <row r="15" spans="1:14" x14ac:dyDescent="0.35">
      <c r="A15" s="76"/>
      <c r="C15" s="53"/>
      <c r="D15" s="53"/>
      <c r="E15" s="53"/>
      <c r="F15" s="77"/>
      <c r="G15" s="78"/>
      <c r="H15" s="79"/>
      <c r="I15" s="80"/>
      <c r="J15" s="81"/>
      <c r="K15" s="62"/>
      <c r="L15" s="81"/>
      <c r="N15" s="50"/>
    </row>
    <row r="16" spans="1:14" x14ac:dyDescent="0.35">
      <c r="F16" s="198" t="s">
        <v>63</v>
      </c>
      <c r="G16" s="198"/>
      <c r="H16" s="198"/>
      <c r="J16" s="82">
        <f>J9-J14</f>
        <v>142130.73600000003</v>
      </c>
      <c r="K16" s="82"/>
      <c r="L16" s="82">
        <f>L9-L14</f>
        <v>0</v>
      </c>
    </row>
    <row r="17" spans="1:16" x14ac:dyDescent="0.35">
      <c r="H17" s="59"/>
      <c r="L17" s="50"/>
    </row>
    <row r="18" spans="1:16" x14ac:dyDescent="0.35">
      <c r="A18" s="80" t="s">
        <v>64</v>
      </c>
      <c r="C18" s="53" t="s">
        <v>55</v>
      </c>
      <c r="D18" s="53" t="s">
        <v>56</v>
      </c>
      <c r="F18" s="57">
        <v>28000</v>
      </c>
      <c r="G18" s="58">
        <v>3.41</v>
      </c>
      <c r="H18" s="59"/>
      <c r="J18" s="62">
        <v>95480</v>
      </c>
      <c r="L18" s="62">
        <v>0</v>
      </c>
    </row>
    <row r="19" spans="1:16" x14ac:dyDescent="0.35">
      <c r="A19" s="80" t="s">
        <v>64</v>
      </c>
      <c r="C19" s="53" t="s">
        <v>55</v>
      </c>
      <c r="D19" s="53" t="s">
        <v>56</v>
      </c>
      <c r="F19" s="57">
        <v>10000</v>
      </c>
      <c r="G19" s="58">
        <v>3.41</v>
      </c>
      <c r="H19" s="59"/>
      <c r="J19" s="62">
        <v>34100</v>
      </c>
      <c r="L19" s="62">
        <v>0</v>
      </c>
    </row>
    <row r="20" spans="1:16" x14ac:dyDescent="0.35">
      <c r="A20" s="80" t="s">
        <v>64</v>
      </c>
      <c r="C20" s="53" t="s">
        <v>55</v>
      </c>
      <c r="D20" s="53" t="s">
        <v>56</v>
      </c>
      <c r="F20" s="57">
        <v>7500</v>
      </c>
      <c r="G20" s="58">
        <v>3.2549999999999999</v>
      </c>
      <c r="H20" s="59"/>
      <c r="J20" s="62">
        <v>24412.5</v>
      </c>
      <c r="L20" s="62">
        <v>0</v>
      </c>
    </row>
    <row r="21" spans="1:16" x14ac:dyDescent="0.35">
      <c r="A21" s="80" t="s">
        <v>64</v>
      </c>
      <c r="C21" s="53" t="s">
        <v>55</v>
      </c>
      <c r="D21" s="53" t="s">
        <v>56</v>
      </c>
      <c r="F21" s="57">
        <v>25000</v>
      </c>
      <c r="G21" s="58">
        <v>5.1150000000000002</v>
      </c>
      <c r="H21" s="59"/>
      <c r="J21" s="62">
        <v>127875</v>
      </c>
      <c r="L21" s="62">
        <v>0</v>
      </c>
    </row>
    <row r="22" spans="1:16" x14ac:dyDescent="0.35">
      <c r="A22" s="80" t="s">
        <v>64</v>
      </c>
      <c r="C22" s="53" t="s">
        <v>55</v>
      </c>
      <c r="D22" s="53" t="s">
        <v>56</v>
      </c>
      <c r="F22" s="57">
        <v>1000</v>
      </c>
      <c r="G22" s="58">
        <v>3.1</v>
      </c>
      <c r="H22" s="59"/>
      <c r="J22" s="62">
        <v>3100</v>
      </c>
      <c r="L22" s="62">
        <v>0</v>
      </c>
    </row>
    <row r="23" spans="1:16" x14ac:dyDescent="0.35">
      <c r="A23" s="80" t="s">
        <v>64</v>
      </c>
      <c r="C23" s="53" t="s">
        <v>55</v>
      </c>
      <c r="D23" s="53" t="s">
        <v>56</v>
      </c>
      <c r="F23" s="57">
        <v>0</v>
      </c>
      <c r="G23" s="58">
        <v>0</v>
      </c>
      <c r="H23" s="59"/>
      <c r="J23" s="62">
        <v>0</v>
      </c>
      <c r="L23" s="62">
        <v>0</v>
      </c>
    </row>
    <row r="24" spans="1:16" x14ac:dyDescent="0.35">
      <c r="H24" s="59"/>
      <c r="L24" s="50"/>
    </row>
    <row r="25" spans="1:16" x14ac:dyDescent="0.35">
      <c r="F25" s="198" t="s">
        <v>68</v>
      </c>
      <c r="G25" s="198"/>
      <c r="H25" s="198"/>
      <c r="J25" s="82">
        <f>SUM(J18:J24)</f>
        <v>284967.5</v>
      </c>
      <c r="L25" s="82">
        <f>SUM(L18:L24)</f>
        <v>0</v>
      </c>
    </row>
    <row r="26" spans="1:16" x14ac:dyDescent="0.35">
      <c r="H26" s="59"/>
      <c r="L26" s="50"/>
    </row>
    <row r="27" spans="1:16" x14ac:dyDescent="0.35">
      <c r="H27" s="79" t="s">
        <v>69</v>
      </c>
      <c r="J27" s="83">
        <f>J16+J25</f>
        <v>427098.23600000003</v>
      </c>
      <c r="K27" s="84"/>
      <c r="L27" s="83">
        <f>L16+L25</f>
        <v>0</v>
      </c>
      <c r="N27" s="50"/>
      <c r="O27" s="50"/>
      <c r="P27" s="50"/>
    </row>
    <row r="29" spans="1:16" x14ac:dyDescent="0.35">
      <c r="A29" s="199" t="s">
        <v>70</v>
      </c>
      <c r="B29" s="200"/>
      <c r="C29" s="200"/>
      <c r="D29" s="200"/>
      <c r="E29" s="200"/>
      <c r="F29" s="200"/>
      <c r="G29" s="201"/>
    </row>
    <row r="30" spans="1:16" x14ac:dyDescent="0.35">
      <c r="A30" s="85"/>
      <c r="B30" s="86">
        <f>B3</f>
        <v>44197</v>
      </c>
      <c r="C30" s="87" t="s">
        <v>71</v>
      </c>
      <c r="D30" s="88" t="s">
        <v>72</v>
      </c>
      <c r="E30" s="88"/>
      <c r="F30" s="88"/>
      <c r="G30" s="89"/>
    </row>
    <row r="31" spans="1:16" x14ac:dyDescent="0.35">
      <c r="A31" s="90"/>
      <c r="B31" s="91" t="s">
        <v>73</v>
      </c>
      <c r="C31" s="88" t="s">
        <v>74</v>
      </c>
      <c r="D31" s="88" t="s">
        <v>75</v>
      </c>
      <c r="E31" s="202" t="s">
        <v>76</v>
      </c>
      <c r="F31" s="202"/>
      <c r="G31" s="89"/>
    </row>
    <row r="32" spans="1:16" x14ac:dyDescent="0.35">
      <c r="A32" s="92" t="s">
        <v>77</v>
      </c>
      <c r="B32" s="93">
        <v>6.9</v>
      </c>
      <c r="C32" s="94">
        <v>5.9390000000000001</v>
      </c>
      <c r="D32" s="95">
        <f>(B32/C32)-1</f>
        <v>0.16181175282034022</v>
      </c>
      <c r="E32" s="220">
        <f>(4.185*(D32+1))</f>
        <v>4.8621821855531238</v>
      </c>
      <c r="F32" s="221"/>
      <c r="G32" s="89"/>
    </row>
    <row r="33" spans="1:7" x14ac:dyDescent="0.35">
      <c r="A33" s="92"/>
      <c r="B33" s="88"/>
      <c r="C33" s="88"/>
      <c r="D33" s="88"/>
      <c r="E33" s="88"/>
      <c r="F33" s="88"/>
      <c r="G33" s="89"/>
    </row>
    <row r="34" spans="1:7" x14ac:dyDescent="0.35">
      <c r="A34" s="96" t="s">
        <v>78</v>
      </c>
      <c r="B34" s="97"/>
      <c r="C34" s="97"/>
      <c r="D34" s="97"/>
      <c r="E34" s="97"/>
      <c r="F34" s="97"/>
      <c r="G34" s="98"/>
    </row>
    <row r="36" spans="1:7" x14ac:dyDescent="0.35">
      <c r="A36" s="80" t="s">
        <v>79</v>
      </c>
      <c r="B36" s="99" t="s">
        <v>80</v>
      </c>
      <c r="C36" s="99"/>
      <c r="D36" s="99"/>
      <c r="E36" s="99"/>
      <c r="F36" s="99"/>
      <c r="G36" s="100"/>
    </row>
    <row r="37" spans="1:7" x14ac:dyDescent="0.35">
      <c r="A37" s="80"/>
      <c r="B37" s="99"/>
      <c r="C37" s="99"/>
      <c r="D37" s="99"/>
      <c r="E37" s="99"/>
      <c r="F37" s="99"/>
      <c r="G37" s="100"/>
    </row>
    <row r="38" spans="1:7" x14ac:dyDescent="0.35">
      <c r="A38" s="80" t="s">
        <v>81</v>
      </c>
      <c r="B38" s="99" t="s">
        <v>82</v>
      </c>
      <c r="C38" s="99"/>
      <c r="D38" s="99"/>
      <c r="E38" s="99"/>
      <c r="F38" s="99"/>
      <c r="G38" s="100"/>
    </row>
    <row r="39" spans="1:7" x14ac:dyDescent="0.35">
      <c r="A39" s="80"/>
      <c r="B39" s="99"/>
      <c r="C39" s="99"/>
      <c r="D39" s="99"/>
      <c r="E39" s="99"/>
      <c r="F39" s="99"/>
      <c r="G39" s="100"/>
    </row>
    <row r="40" spans="1:7" x14ac:dyDescent="0.35">
      <c r="A40" s="80" t="s">
        <v>83</v>
      </c>
      <c r="B40" s="99" t="s">
        <v>84</v>
      </c>
      <c r="C40" s="99"/>
      <c r="D40" s="99"/>
      <c r="E40" s="99"/>
      <c r="F40" s="99"/>
      <c r="G40" s="100"/>
    </row>
    <row r="41" spans="1:7" x14ac:dyDescent="0.35">
      <c r="A41" s="80"/>
    </row>
  </sheetData>
  <mergeCells count="5">
    <mergeCell ref="F16:H16"/>
    <mergeCell ref="F25:H25"/>
    <mergeCell ref="A29:G29"/>
    <mergeCell ref="E31:F31"/>
    <mergeCell ref="E32:F32"/>
  </mergeCells>
  <pageMargins left="0.17" right="0.17" top="0.66" bottom="0.55000000000000004" header="0.24" footer="0.33"/>
  <pageSetup scale="72" fitToHeight="0" orientation="portrait" r:id="rId1"/>
  <headerFooter>
    <oddHeader xml:space="preserve">&amp;RKY PSC CN 2020-00378  
 Staff's Data Request Set 1 No. 5 Attachment D  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view="pageLayout" zoomScaleNormal="100" workbookViewId="0">
      <selection activeCell="L4" sqref="L4"/>
    </sheetView>
  </sheetViews>
  <sheetFormatPr defaultColWidth="9.1796875" defaultRowHeight="12.5" x14ac:dyDescent="0.25"/>
  <cols>
    <col min="1" max="1" width="9.1796875" style="109" customWidth="1"/>
    <col min="2" max="2" width="10.1796875" style="103" customWidth="1"/>
    <col min="3" max="3" width="11.1796875" style="103" customWidth="1"/>
    <col min="4" max="4" width="9.26953125" style="103" customWidth="1"/>
    <col min="5" max="5" width="10.81640625" style="103" customWidth="1"/>
    <col min="6" max="6" width="13.26953125" style="103" customWidth="1"/>
    <col min="7" max="7" width="13" style="103" customWidth="1"/>
    <col min="8" max="8" width="10.1796875" style="103" customWidth="1"/>
    <col min="9" max="9" width="14.54296875" style="103" customWidth="1"/>
    <col min="10" max="13" width="10.1796875" style="103" customWidth="1"/>
    <col min="14" max="14" width="8.453125" style="103" hidden="1" customWidth="1"/>
    <col min="15" max="15" width="1.453125" style="104" customWidth="1"/>
    <col min="16" max="16" width="11" style="104" hidden="1" customWidth="1"/>
    <col min="17" max="17" width="11.453125" style="104" customWidth="1"/>
    <col min="18" max="16384" width="9.1796875" style="104"/>
  </cols>
  <sheetData>
    <row r="1" spans="1:16" ht="18" x14ac:dyDescent="0.4">
      <c r="A1" s="101" t="s">
        <v>85</v>
      </c>
      <c r="B1" s="102"/>
      <c r="C1" s="102"/>
      <c r="D1" s="102"/>
    </row>
    <row r="2" spans="1:16" ht="18" x14ac:dyDescent="0.4">
      <c r="A2" s="101"/>
      <c r="B2" s="102"/>
      <c r="C2" s="102"/>
      <c r="D2" s="102"/>
    </row>
    <row r="3" spans="1:16" ht="18" x14ac:dyDescent="0.4">
      <c r="A3" s="101" t="s">
        <v>86</v>
      </c>
      <c r="B3" s="105"/>
      <c r="C3" s="106">
        <f>'January 21 TCPS CALC'!C3</f>
        <v>44197</v>
      </c>
      <c r="E3" s="107"/>
      <c r="F3" s="107"/>
      <c r="G3" s="107"/>
      <c r="H3" s="107"/>
      <c r="I3" s="107"/>
      <c r="J3" s="107"/>
      <c r="K3" s="107"/>
      <c r="L3" s="107"/>
      <c r="M3" s="108"/>
    </row>
    <row r="5" spans="1:16" ht="13" thickBot="1" x14ac:dyDescent="0.3"/>
    <row r="6" spans="1:16" ht="13" x14ac:dyDescent="0.3">
      <c r="H6" s="206" t="s">
        <v>87</v>
      </c>
      <c r="I6" s="207"/>
      <c r="J6" s="207"/>
      <c r="K6" s="208" t="s">
        <v>88</v>
      </c>
      <c r="L6" s="209"/>
      <c r="M6" s="210"/>
      <c r="P6" s="103" t="s">
        <v>89</v>
      </c>
    </row>
    <row r="7" spans="1:16" ht="13" x14ac:dyDescent="0.3">
      <c r="A7" s="110" t="s">
        <v>90</v>
      </c>
      <c r="B7" s="211" t="s">
        <v>91</v>
      </c>
      <c r="C7" s="212"/>
      <c r="D7" s="213"/>
      <c r="E7" s="214" t="s">
        <v>92</v>
      </c>
      <c r="F7" s="215"/>
      <c r="G7" s="216"/>
      <c r="H7" s="212" t="s">
        <v>93</v>
      </c>
      <c r="I7" s="212"/>
      <c r="J7" s="212"/>
      <c r="K7" s="217" t="s">
        <v>94</v>
      </c>
      <c r="L7" s="218"/>
      <c r="M7" s="219"/>
      <c r="P7" s="103" t="s">
        <v>95</v>
      </c>
    </row>
    <row r="8" spans="1:16" ht="13" x14ac:dyDescent="0.3">
      <c r="A8" s="111" t="s">
        <v>96</v>
      </c>
      <c r="B8" s="112" t="s">
        <v>97</v>
      </c>
      <c r="C8" s="113" t="s">
        <v>98</v>
      </c>
      <c r="D8" s="114" t="s">
        <v>99</v>
      </c>
      <c r="E8" s="115" t="s">
        <v>97</v>
      </c>
      <c r="F8" s="116" t="s">
        <v>98</v>
      </c>
      <c r="G8" s="117" t="s">
        <v>99</v>
      </c>
      <c r="H8" s="113" t="s">
        <v>97</v>
      </c>
      <c r="I8" s="113" t="s">
        <v>98</v>
      </c>
      <c r="J8" s="113" t="s">
        <v>99</v>
      </c>
      <c r="K8" s="118" t="s">
        <v>97</v>
      </c>
      <c r="L8" s="119" t="s">
        <v>98</v>
      </c>
      <c r="M8" s="120" t="s">
        <v>99</v>
      </c>
      <c r="N8" s="121" t="s">
        <v>96</v>
      </c>
      <c r="P8" s="122" t="s">
        <v>100</v>
      </c>
    </row>
    <row r="9" spans="1:16" ht="13" x14ac:dyDescent="0.3">
      <c r="A9" s="123"/>
      <c r="B9" s="124"/>
      <c r="C9" s="125"/>
      <c r="D9" s="126"/>
      <c r="E9" s="127"/>
      <c r="F9" s="128"/>
      <c r="G9" s="129"/>
      <c r="H9" s="130"/>
      <c r="I9" s="130" t="s">
        <v>101</v>
      </c>
      <c r="J9" s="131"/>
      <c r="K9" s="132"/>
      <c r="L9" s="133"/>
      <c r="M9" s="134"/>
    </row>
    <row r="10" spans="1:16" ht="13" x14ac:dyDescent="0.3">
      <c r="A10" s="109">
        <f>C3</f>
        <v>44197</v>
      </c>
      <c r="B10" s="135">
        <v>2.04</v>
      </c>
      <c r="C10" s="136">
        <v>2.2799999999999998</v>
      </c>
      <c r="D10" s="137">
        <v>2.39</v>
      </c>
      <c r="E10" s="138">
        <v>2.1</v>
      </c>
      <c r="F10" s="139">
        <v>2.21</v>
      </c>
      <c r="G10" s="140">
        <v>2.2949999999999999</v>
      </c>
      <c r="H10" s="135">
        <v>2.12</v>
      </c>
      <c r="I10" s="136">
        <v>2.19</v>
      </c>
      <c r="J10" s="137">
        <v>2.2799999999999998</v>
      </c>
      <c r="K10" s="141">
        <f t="shared" ref="K10:M37" si="0">AVERAGE(B10,E10,H10)</f>
        <v>2.0866666666666669</v>
      </c>
      <c r="L10" s="142">
        <f t="shared" si="0"/>
        <v>2.2266666666666666</v>
      </c>
      <c r="M10" s="143">
        <f t="shared" si="0"/>
        <v>2.3216666666666668</v>
      </c>
      <c r="N10" s="109">
        <f t="shared" ref="N10:N40" si="1">A10</f>
        <v>44197</v>
      </c>
      <c r="P10" s="144">
        <f>H10-E10</f>
        <v>2.0000000000000018E-2</v>
      </c>
    </row>
    <row r="11" spans="1:16" x14ac:dyDescent="0.25">
      <c r="A11" s="109">
        <f>A10+1</f>
        <v>44198</v>
      </c>
      <c r="B11" s="145">
        <f t="shared" ref="B11:B40" si="2">$B$10</f>
        <v>2.04</v>
      </c>
      <c r="C11" s="146">
        <f>$C$10</f>
        <v>2.2799999999999998</v>
      </c>
      <c r="D11" s="147">
        <f>$D$10</f>
        <v>2.39</v>
      </c>
      <c r="E11" s="138">
        <v>2.1</v>
      </c>
      <c r="F11" s="139">
        <v>2.21</v>
      </c>
      <c r="G11" s="140">
        <v>2.2949999999999999</v>
      </c>
      <c r="H11" s="148">
        <f t="shared" ref="H11:J13" si="3">H10</f>
        <v>2.12</v>
      </c>
      <c r="I11" s="148">
        <f t="shared" si="3"/>
        <v>2.19</v>
      </c>
      <c r="J11" s="148">
        <f t="shared" si="3"/>
        <v>2.2799999999999998</v>
      </c>
      <c r="K11" s="141">
        <f t="shared" si="0"/>
        <v>2.0866666666666669</v>
      </c>
      <c r="L11" s="142">
        <f t="shared" si="0"/>
        <v>2.2266666666666666</v>
      </c>
      <c r="M11" s="143">
        <f t="shared" si="0"/>
        <v>2.3216666666666668</v>
      </c>
      <c r="N11" s="149">
        <f t="shared" si="1"/>
        <v>44198</v>
      </c>
      <c r="P11" s="144">
        <f t="shared" ref="P11:P40" si="4">H11-E11</f>
        <v>2.0000000000000018E-2</v>
      </c>
    </row>
    <row r="12" spans="1:16" x14ac:dyDescent="0.25">
      <c r="A12" s="109">
        <f t="shared" ref="A12:A40" si="5">A11+1</f>
        <v>44199</v>
      </c>
      <c r="B12" s="145">
        <f t="shared" si="2"/>
        <v>2.04</v>
      </c>
      <c r="C12" s="146">
        <f t="shared" ref="C12:C40" si="6">$C$10</f>
        <v>2.2799999999999998</v>
      </c>
      <c r="D12" s="147">
        <f t="shared" ref="D12:D40" si="7">$D$10</f>
        <v>2.39</v>
      </c>
      <c r="E12" s="138">
        <v>2.1</v>
      </c>
      <c r="F12" s="139">
        <v>2.21</v>
      </c>
      <c r="G12" s="140">
        <v>2.2949999999999999</v>
      </c>
      <c r="H12" s="148">
        <f t="shared" si="3"/>
        <v>2.12</v>
      </c>
      <c r="I12" s="148">
        <f t="shared" si="3"/>
        <v>2.19</v>
      </c>
      <c r="J12" s="148">
        <f t="shared" si="3"/>
        <v>2.2799999999999998</v>
      </c>
      <c r="K12" s="141">
        <f t="shared" si="0"/>
        <v>2.0866666666666669</v>
      </c>
      <c r="L12" s="142">
        <f t="shared" si="0"/>
        <v>2.2266666666666666</v>
      </c>
      <c r="M12" s="143">
        <f t="shared" si="0"/>
        <v>2.3216666666666668</v>
      </c>
      <c r="N12" s="109">
        <f t="shared" si="1"/>
        <v>44199</v>
      </c>
      <c r="P12" s="144">
        <f t="shared" si="4"/>
        <v>2.0000000000000018E-2</v>
      </c>
    </row>
    <row r="13" spans="1:16" x14ac:dyDescent="0.25">
      <c r="A13" s="109">
        <f t="shared" si="5"/>
        <v>44200</v>
      </c>
      <c r="B13" s="145">
        <f t="shared" si="2"/>
        <v>2.04</v>
      </c>
      <c r="C13" s="146">
        <f t="shared" si="6"/>
        <v>2.2799999999999998</v>
      </c>
      <c r="D13" s="147">
        <f t="shared" si="7"/>
        <v>2.39</v>
      </c>
      <c r="E13" s="138">
        <v>2.1</v>
      </c>
      <c r="F13" s="139">
        <v>2.21</v>
      </c>
      <c r="G13" s="140">
        <v>2.2949999999999999</v>
      </c>
      <c r="H13" s="148">
        <f t="shared" si="3"/>
        <v>2.12</v>
      </c>
      <c r="I13" s="148">
        <f t="shared" si="3"/>
        <v>2.19</v>
      </c>
      <c r="J13" s="148">
        <f t="shared" si="3"/>
        <v>2.2799999999999998</v>
      </c>
      <c r="K13" s="141">
        <f t="shared" si="0"/>
        <v>2.0866666666666669</v>
      </c>
      <c r="L13" s="142">
        <f t="shared" si="0"/>
        <v>2.2266666666666666</v>
      </c>
      <c r="M13" s="143">
        <f t="shared" si="0"/>
        <v>2.3216666666666668</v>
      </c>
      <c r="N13" s="109">
        <f t="shared" si="1"/>
        <v>44200</v>
      </c>
      <c r="P13" s="144">
        <f t="shared" si="4"/>
        <v>2.0000000000000018E-2</v>
      </c>
    </row>
    <row r="14" spans="1:16" s="155" customFormat="1" ht="13" x14ac:dyDescent="0.3">
      <c r="A14" s="150">
        <f t="shared" si="5"/>
        <v>44201</v>
      </c>
      <c r="B14" s="145">
        <f t="shared" si="2"/>
        <v>2.04</v>
      </c>
      <c r="C14" s="146">
        <f t="shared" si="6"/>
        <v>2.2799999999999998</v>
      </c>
      <c r="D14" s="147">
        <f t="shared" si="7"/>
        <v>2.39</v>
      </c>
      <c r="E14" s="138">
        <v>2.335</v>
      </c>
      <c r="F14" s="139">
        <v>2.4649999999999999</v>
      </c>
      <c r="G14" s="140">
        <v>2.5350000000000001</v>
      </c>
      <c r="H14" s="158">
        <v>2.4500000000000002</v>
      </c>
      <c r="I14" s="158">
        <v>2.56</v>
      </c>
      <c r="J14" s="158">
        <v>2.66</v>
      </c>
      <c r="K14" s="151">
        <f t="shared" si="0"/>
        <v>2.2749999999999999</v>
      </c>
      <c r="L14" s="152">
        <f t="shared" si="0"/>
        <v>2.4350000000000001</v>
      </c>
      <c r="M14" s="153">
        <f t="shared" si="0"/>
        <v>2.5283333333333338</v>
      </c>
      <c r="N14" s="154">
        <f t="shared" si="1"/>
        <v>44201</v>
      </c>
      <c r="P14" s="156">
        <f t="shared" si="4"/>
        <v>0.11500000000000021</v>
      </c>
    </row>
    <row r="15" spans="1:16" s="155" customFormat="1" x14ac:dyDescent="0.25">
      <c r="A15" s="150">
        <f t="shared" si="5"/>
        <v>44202</v>
      </c>
      <c r="B15" s="145">
        <f t="shared" si="2"/>
        <v>2.04</v>
      </c>
      <c r="C15" s="146">
        <f t="shared" si="6"/>
        <v>2.2799999999999998</v>
      </c>
      <c r="D15" s="147">
        <f t="shared" si="7"/>
        <v>2.39</v>
      </c>
      <c r="E15" s="138">
        <v>2.46</v>
      </c>
      <c r="F15" s="139">
        <v>2.5449999999999999</v>
      </c>
      <c r="G15" s="140">
        <v>2.65</v>
      </c>
      <c r="H15" s="148">
        <f t="shared" ref="H15:J20" si="8">H14</f>
        <v>2.4500000000000002</v>
      </c>
      <c r="I15" s="148">
        <f t="shared" si="8"/>
        <v>2.56</v>
      </c>
      <c r="J15" s="148">
        <f t="shared" si="8"/>
        <v>2.66</v>
      </c>
      <c r="K15" s="151">
        <f t="shared" si="0"/>
        <v>2.3166666666666669</v>
      </c>
      <c r="L15" s="152">
        <f t="shared" si="0"/>
        <v>2.4616666666666664</v>
      </c>
      <c r="M15" s="153">
        <f t="shared" si="0"/>
        <v>2.5666666666666669</v>
      </c>
      <c r="N15" s="154">
        <f t="shared" si="1"/>
        <v>44202</v>
      </c>
      <c r="P15" s="144">
        <f t="shared" si="4"/>
        <v>-9.9999999999997868E-3</v>
      </c>
    </row>
    <row r="16" spans="1:16" s="155" customFormat="1" ht="13" x14ac:dyDescent="0.3">
      <c r="A16" s="150">
        <f t="shared" si="5"/>
        <v>44203</v>
      </c>
      <c r="B16" s="145">
        <f t="shared" si="2"/>
        <v>2.04</v>
      </c>
      <c r="C16" s="146">
        <f t="shared" si="6"/>
        <v>2.2799999999999998</v>
      </c>
      <c r="D16" s="147">
        <f t="shared" si="7"/>
        <v>2.39</v>
      </c>
      <c r="E16" s="138">
        <v>2.4500000000000002</v>
      </c>
      <c r="F16" s="139">
        <v>2.57</v>
      </c>
      <c r="G16" s="140">
        <v>2.6349999999999998</v>
      </c>
      <c r="H16" s="148">
        <f t="shared" si="8"/>
        <v>2.4500000000000002</v>
      </c>
      <c r="I16" s="148">
        <f t="shared" si="8"/>
        <v>2.56</v>
      </c>
      <c r="J16" s="148">
        <f t="shared" si="8"/>
        <v>2.66</v>
      </c>
      <c r="K16" s="151">
        <f t="shared" si="0"/>
        <v>2.3133333333333335</v>
      </c>
      <c r="L16" s="152">
        <f t="shared" si="0"/>
        <v>2.4700000000000002</v>
      </c>
      <c r="M16" s="153">
        <f t="shared" si="0"/>
        <v>2.561666666666667</v>
      </c>
      <c r="N16" s="157">
        <f t="shared" si="1"/>
        <v>44203</v>
      </c>
      <c r="P16" s="144">
        <f t="shared" si="4"/>
        <v>0</v>
      </c>
    </row>
    <row r="17" spans="1:16" s="155" customFormat="1" x14ac:dyDescent="0.25">
      <c r="A17" s="150">
        <f t="shared" si="5"/>
        <v>44204</v>
      </c>
      <c r="B17" s="145">
        <f t="shared" si="2"/>
        <v>2.04</v>
      </c>
      <c r="C17" s="146">
        <f t="shared" si="6"/>
        <v>2.2799999999999998</v>
      </c>
      <c r="D17" s="147">
        <f t="shared" si="7"/>
        <v>2.39</v>
      </c>
      <c r="E17" s="138">
        <v>2.4649999999999999</v>
      </c>
      <c r="F17" s="139">
        <v>2.6150000000000002</v>
      </c>
      <c r="G17" s="140">
        <v>2.6749999999999998</v>
      </c>
      <c r="H17" s="148">
        <f t="shared" si="8"/>
        <v>2.4500000000000002</v>
      </c>
      <c r="I17" s="148">
        <f t="shared" si="8"/>
        <v>2.56</v>
      </c>
      <c r="J17" s="148">
        <f t="shared" si="8"/>
        <v>2.66</v>
      </c>
      <c r="K17" s="151">
        <f t="shared" si="0"/>
        <v>2.3183333333333334</v>
      </c>
      <c r="L17" s="152">
        <f t="shared" si="0"/>
        <v>2.4849999999999999</v>
      </c>
      <c r="M17" s="153">
        <f t="shared" si="0"/>
        <v>2.5749999999999997</v>
      </c>
      <c r="N17" s="154">
        <f t="shared" si="1"/>
        <v>44204</v>
      </c>
      <c r="P17" s="144">
        <f t="shared" si="4"/>
        <v>-1.499999999999968E-2</v>
      </c>
    </row>
    <row r="18" spans="1:16" s="155" customFormat="1" x14ac:dyDescent="0.25">
      <c r="A18" s="150">
        <f t="shared" si="5"/>
        <v>44205</v>
      </c>
      <c r="B18" s="145">
        <f t="shared" si="2"/>
        <v>2.04</v>
      </c>
      <c r="C18" s="146">
        <f t="shared" si="6"/>
        <v>2.2799999999999998</v>
      </c>
      <c r="D18" s="147">
        <f t="shared" si="7"/>
        <v>2.39</v>
      </c>
      <c r="E18" s="138">
        <v>2.46</v>
      </c>
      <c r="F18" s="139">
        <v>2.5750000000000002</v>
      </c>
      <c r="G18" s="140">
        <v>2.65</v>
      </c>
      <c r="H18" s="148">
        <f t="shared" si="8"/>
        <v>2.4500000000000002</v>
      </c>
      <c r="I18" s="148">
        <f t="shared" si="8"/>
        <v>2.56</v>
      </c>
      <c r="J18" s="148">
        <f t="shared" si="8"/>
        <v>2.66</v>
      </c>
      <c r="K18" s="151">
        <f t="shared" si="0"/>
        <v>2.3166666666666669</v>
      </c>
      <c r="L18" s="152">
        <f t="shared" si="0"/>
        <v>2.4716666666666671</v>
      </c>
      <c r="M18" s="153">
        <f t="shared" si="0"/>
        <v>2.5666666666666669</v>
      </c>
      <c r="N18" s="154">
        <f t="shared" si="1"/>
        <v>44205</v>
      </c>
      <c r="P18" s="144">
        <f t="shared" si="4"/>
        <v>-9.9999999999997868E-3</v>
      </c>
    </row>
    <row r="19" spans="1:16" s="155" customFormat="1" ht="12" customHeight="1" x14ac:dyDescent="0.25">
      <c r="A19" s="150">
        <f t="shared" si="5"/>
        <v>44206</v>
      </c>
      <c r="B19" s="145">
        <f t="shared" si="2"/>
        <v>2.04</v>
      </c>
      <c r="C19" s="146">
        <f t="shared" si="6"/>
        <v>2.2799999999999998</v>
      </c>
      <c r="D19" s="147">
        <f t="shared" si="7"/>
        <v>2.39</v>
      </c>
      <c r="E19" s="138">
        <v>2.46</v>
      </c>
      <c r="F19" s="139">
        <v>2.5750000000000002</v>
      </c>
      <c r="G19" s="140">
        <v>2.65</v>
      </c>
      <c r="H19" s="148">
        <f t="shared" si="8"/>
        <v>2.4500000000000002</v>
      </c>
      <c r="I19" s="148">
        <f t="shared" si="8"/>
        <v>2.56</v>
      </c>
      <c r="J19" s="148">
        <f t="shared" si="8"/>
        <v>2.66</v>
      </c>
      <c r="K19" s="151">
        <f t="shared" si="0"/>
        <v>2.3166666666666669</v>
      </c>
      <c r="L19" s="152">
        <f t="shared" si="0"/>
        <v>2.4716666666666671</v>
      </c>
      <c r="M19" s="153">
        <f t="shared" si="0"/>
        <v>2.5666666666666669</v>
      </c>
      <c r="N19" s="154">
        <f t="shared" si="1"/>
        <v>44206</v>
      </c>
      <c r="P19" s="144">
        <f t="shared" si="4"/>
        <v>-9.9999999999997868E-3</v>
      </c>
    </row>
    <row r="20" spans="1:16" s="155" customFormat="1" x14ac:dyDescent="0.25">
      <c r="A20" s="150">
        <f t="shared" si="5"/>
        <v>44207</v>
      </c>
      <c r="B20" s="145">
        <f t="shared" si="2"/>
        <v>2.04</v>
      </c>
      <c r="C20" s="146">
        <f t="shared" si="6"/>
        <v>2.2799999999999998</v>
      </c>
      <c r="D20" s="147">
        <f t="shared" si="7"/>
        <v>2.39</v>
      </c>
      <c r="E20" s="138">
        <v>2.46</v>
      </c>
      <c r="F20" s="139">
        <v>2.5750000000000002</v>
      </c>
      <c r="G20" s="140">
        <v>2.65</v>
      </c>
      <c r="H20" s="148">
        <f t="shared" si="8"/>
        <v>2.4500000000000002</v>
      </c>
      <c r="I20" s="148">
        <f t="shared" si="8"/>
        <v>2.56</v>
      </c>
      <c r="J20" s="148">
        <f t="shared" si="8"/>
        <v>2.66</v>
      </c>
      <c r="K20" s="151">
        <f t="shared" si="0"/>
        <v>2.3166666666666669</v>
      </c>
      <c r="L20" s="152">
        <f t="shared" si="0"/>
        <v>2.4716666666666671</v>
      </c>
      <c r="M20" s="153">
        <f t="shared" si="0"/>
        <v>2.5666666666666669</v>
      </c>
      <c r="N20" s="154">
        <f t="shared" si="1"/>
        <v>44207</v>
      </c>
      <c r="P20" s="156">
        <f>H20-E20</f>
        <v>-9.9999999999997868E-3</v>
      </c>
    </row>
    <row r="21" spans="1:16" s="155" customFormat="1" ht="13" x14ac:dyDescent="0.3">
      <c r="A21" s="150">
        <f t="shared" si="5"/>
        <v>44208</v>
      </c>
      <c r="B21" s="145">
        <f t="shared" si="2"/>
        <v>2.04</v>
      </c>
      <c r="C21" s="146">
        <f t="shared" si="6"/>
        <v>2.2799999999999998</v>
      </c>
      <c r="D21" s="147">
        <f t="shared" si="7"/>
        <v>2.39</v>
      </c>
      <c r="E21" s="138">
        <v>2.44</v>
      </c>
      <c r="F21" s="139">
        <v>2.56</v>
      </c>
      <c r="G21" s="140">
        <v>2.6</v>
      </c>
      <c r="H21" s="158">
        <v>2.56</v>
      </c>
      <c r="I21" s="158">
        <v>2.66</v>
      </c>
      <c r="J21" s="158">
        <v>2.7</v>
      </c>
      <c r="K21" s="151">
        <f t="shared" si="0"/>
        <v>2.3466666666666671</v>
      </c>
      <c r="L21" s="152">
        <f t="shared" si="0"/>
        <v>2.5</v>
      </c>
      <c r="M21" s="153">
        <f t="shared" si="0"/>
        <v>2.5633333333333335</v>
      </c>
      <c r="N21" s="154">
        <f t="shared" si="1"/>
        <v>44208</v>
      </c>
      <c r="P21" s="156">
        <f t="shared" si="4"/>
        <v>0.12000000000000011</v>
      </c>
    </row>
    <row r="22" spans="1:16" s="155" customFormat="1" x14ac:dyDescent="0.25">
      <c r="A22" s="150">
        <f t="shared" si="5"/>
        <v>44209</v>
      </c>
      <c r="B22" s="145">
        <f t="shared" si="2"/>
        <v>2.04</v>
      </c>
      <c r="C22" s="146">
        <f t="shared" si="6"/>
        <v>2.2799999999999998</v>
      </c>
      <c r="D22" s="147">
        <f t="shared" si="7"/>
        <v>2.39</v>
      </c>
      <c r="E22" s="138">
        <v>2.605</v>
      </c>
      <c r="F22" s="139">
        <v>2.7250000000000001</v>
      </c>
      <c r="G22" s="140">
        <v>2.83</v>
      </c>
      <c r="H22" s="148">
        <f t="shared" ref="H22:J28" si="9">H21</f>
        <v>2.56</v>
      </c>
      <c r="I22" s="148">
        <f t="shared" si="9"/>
        <v>2.66</v>
      </c>
      <c r="J22" s="148">
        <f t="shared" si="9"/>
        <v>2.7</v>
      </c>
      <c r="K22" s="151">
        <f t="shared" si="0"/>
        <v>2.4016666666666668</v>
      </c>
      <c r="L22" s="152">
        <f t="shared" si="0"/>
        <v>2.5550000000000002</v>
      </c>
      <c r="M22" s="153">
        <f t="shared" si="0"/>
        <v>2.64</v>
      </c>
      <c r="N22" s="154">
        <f t="shared" si="1"/>
        <v>44209</v>
      </c>
      <c r="P22" s="144">
        <f t="shared" si="4"/>
        <v>-4.4999999999999929E-2</v>
      </c>
    </row>
    <row r="23" spans="1:16" s="155" customFormat="1" ht="13" x14ac:dyDescent="0.3">
      <c r="A23" s="150">
        <f t="shared" si="5"/>
        <v>44210</v>
      </c>
      <c r="B23" s="145">
        <f t="shared" si="2"/>
        <v>2.04</v>
      </c>
      <c r="C23" s="146">
        <f t="shared" si="6"/>
        <v>2.2799999999999998</v>
      </c>
      <c r="D23" s="147">
        <f t="shared" si="7"/>
        <v>2.39</v>
      </c>
      <c r="E23" s="138">
        <v>2.5499999999999998</v>
      </c>
      <c r="F23" s="139">
        <v>2.645</v>
      </c>
      <c r="G23" s="140">
        <v>2.73</v>
      </c>
      <c r="H23" s="148">
        <f t="shared" si="9"/>
        <v>2.56</v>
      </c>
      <c r="I23" s="148">
        <f t="shared" si="9"/>
        <v>2.66</v>
      </c>
      <c r="J23" s="148">
        <f t="shared" si="9"/>
        <v>2.7</v>
      </c>
      <c r="K23" s="151">
        <f t="shared" si="0"/>
        <v>2.3833333333333333</v>
      </c>
      <c r="L23" s="152">
        <f t="shared" si="0"/>
        <v>2.5283333333333333</v>
      </c>
      <c r="M23" s="153">
        <f t="shared" si="0"/>
        <v>2.6066666666666669</v>
      </c>
      <c r="N23" s="157">
        <f t="shared" si="1"/>
        <v>44210</v>
      </c>
      <c r="P23" s="144">
        <f t="shared" si="4"/>
        <v>1.0000000000000231E-2</v>
      </c>
    </row>
    <row r="24" spans="1:16" s="155" customFormat="1" x14ac:dyDescent="0.25">
      <c r="A24" s="150">
        <f t="shared" si="5"/>
        <v>44211</v>
      </c>
      <c r="B24" s="145">
        <f t="shared" si="2"/>
        <v>2.04</v>
      </c>
      <c r="C24" s="146">
        <f t="shared" si="6"/>
        <v>2.2799999999999998</v>
      </c>
      <c r="D24" s="147">
        <f t="shared" si="7"/>
        <v>2.39</v>
      </c>
      <c r="E24" s="138">
        <v>2.5299999999999998</v>
      </c>
      <c r="F24" s="139">
        <v>2.645</v>
      </c>
      <c r="G24" s="140">
        <v>2.72</v>
      </c>
      <c r="H24" s="148">
        <f t="shared" si="9"/>
        <v>2.56</v>
      </c>
      <c r="I24" s="148">
        <f t="shared" si="9"/>
        <v>2.66</v>
      </c>
      <c r="J24" s="148">
        <f t="shared" si="9"/>
        <v>2.7</v>
      </c>
      <c r="K24" s="151">
        <f>AVERAGE(B24,E24,H24)</f>
        <v>2.3766666666666669</v>
      </c>
      <c r="L24" s="152">
        <f t="shared" si="0"/>
        <v>2.5283333333333333</v>
      </c>
      <c r="M24" s="153">
        <f t="shared" si="0"/>
        <v>2.6033333333333335</v>
      </c>
      <c r="N24" s="154">
        <f t="shared" si="1"/>
        <v>44211</v>
      </c>
      <c r="P24" s="144">
        <f t="shared" si="4"/>
        <v>3.0000000000000249E-2</v>
      </c>
    </row>
    <row r="25" spans="1:16" s="155" customFormat="1" x14ac:dyDescent="0.25">
      <c r="A25" s="150">
        <f t="shared" si="5"/>
        <v>44212</v>
      </c>
      <c r="B25" s="145">
        <f t="shared" si="2"/>
        <v>2.04</v>
      </c>
      <c r="C25" s="146">
        <f t="shared" si="6"/>
        <v>2.2799999999999998</v>
      </c>
      <c r="D25" s="147">
        <f t="shared" si="7"/>
        <v>2.39</v>
      </c>
      <c r="E25" s="138">
        <v>2.58</v>
      </c>
      <c r="F25" s="139">
        <v>2.66</v>
      </c>
      <c r="G25" s="140">
        <v>2.72</v>
      </c>
      <c r="H25" s="148">
        <f t="shared" si="9"/>
        <v>2.56</v>
      </c>
      <c r="I25" s="148">
        <f t="shared" si="9"/>
        <v>2.66</v>
      </c>
      <c r="J25" s="148">
        <f t="shared" si="9"/>
        <v>2.7</v>
      </c>
      <c r="K25" s="151">
        <f t="shared" si="0"/>
        <v>2.3933333333333331</v>
      </c>
      <c r="L25" s="152">
        <f t="shared" si="0"/>
        <v>2.5333333333333332</v>
      </c>
      <c r="M25" s="153">
        <f t="shared" si="0"/>
        <v>2.6033333333333335</v>
      </c>
      <c r="N25" s="154">
        <f t="shared" si="1"/>
        <v>44212</v>
      </c>
      <c r="P25" s="156">
        <f t="shared" si="4"/>
        <v>-2.0000000000000018E-2</v>
      </c>
    </row>
    <row r="26" spans="1:16" s="155" customFormat="1" x14ac:dyDescent="0.25">
      <c r="A26" s="150">
        <f t="shared" si="5"/>
        <v>44213</v>
      </c>
      <c r="B26" s="145">
        <f t="shared" si="2"/>
        <v>2.04</v>
      </c>
      <c r="C26" s="146">
        <f t="shared" si="6"/>
        <v>2.2799999999999998</v>
      </c>
      <c r="D26" s="147">
        <f t="shared" si="7"/>
        <v>2.39</v>
      </c>
      <c r="E26" s="138">
        <v>2.58</v>
      </c>
      <c r="F26" s="139">
        <v>2.66</v>
      </c>
      <c r="G26" s="140">
        <v>2.72</v>
      </c>
      <c r="H26" s="148">
        <f t="shared" si="9"/>
        <v>2.56</v>
      </c>
      <c r="I26" s="148">
        <f t="shared" si="9"/>
        <v>2.66</v>
      </c>
      <c r="J26" s="148">
        <f t="shared" si="9"/>
        <v>2.7</v>
      </c>
      <c r="K26" s="151">
        <f t="shared" si="0"/>
        <v>2.3933333333333331</v>
      </c>
      <c r="L26" s="152">
        <f t="shared" si="0"/>
        <v>2.5333333333333332</v>
      </c>
      <c r="M26" s="153">
        <f t="shared" si="0"/>
        <v>2.6033333333333335</v>
      </c>
      <c r="N26" s="154">
        <f t="shared" si="1"/>
        <v>44213</v>
      </c>
      <c r="P26" s="144">
        <f t="shared" si="4"/>
        <v>-2.0000000000000018E-2</v>
      </c>
    </row>
    <row r="27" spans="1:16" s="155" customFormat="1" x14ac:dyDescent="0.25">
      <c r="A27" s="150">
        <f t="shared" si="5"/>
        <v>44214</v>
      </c>
      <c r="B27" s="145">
        <f t="shared" si="2"/>
        <v>2.04</v>
      </c>
      <c r="C27" s="146">
        <f t="shared" si="6"/>
        <v>2.2799999999999998</v>
      </c>
      <c r="D27" s="147">
        <f t="shared" si="7"/>
        <v>2.39</v>
      </c>
      <c r="E27" s="138">
        <v>2.58</v>
      </c>
      <c r="F27" s="139">
        <v>2.66</v>
      </c>
      <c r="G27" s="140">
        <v>2.72</v>
      </c>
      <c r="H27" s="148">
        <f t="shared" si="9"/>
        <v>2.56</v>
      </c>
      <c r="I27" s="148">
        <f t="shared" si="9"/>
        <v>2.66</v>
      </c>
      <c r="J27" s="148">
        <f t="shared" si="9"/>
        <v>2.7</v>
      </c>
      <c r="K27" s="151">
        <f t="shared" si="0"/>
        <v>2.3933333333333331</v>
      </c>
      <c r="L27" s="152">
        <f t="shared" si="0"/>
        <v>2.5333333333333332</v>
      </c>
      <c r="M27" s="153">
        <f t="shared" si="0"/>
        <v>2.6033333333333335</v>
      </c>
      <c r="N27" s="154">
        <f t="shared" si="1"/>
        <v>44214</v>
      </c>
      <c r="P27" s="156">
        <f t="shared" si="4"/>
        <v>-2.0000000000000018E-2</v>
      </c>
    </row>
    <row r="28" spans="1:16" s="155" customFormat="1" x14ac:dyDescent="0.25">
      <c r="A28" s="150">
        <f t="shared" si="5"/>
        <v>44215</v>
      </c>
      <c r="B28" s="145">
        <f t="shared" si="2"/>
        <v>2.04</v>
      </c>
      <c r="C28" s="146">
        <f t="shared" si="6"/>
        <v>2.2799999999999998</v>
      </c>
      <c r="D28" s="147">
        <f t="shared" si="7"/>
        <v>2.39</v>
      </c>
      <c r="E28" s="138">
        <v>2.58</v>
      </c>
      <c r="F28" s="139">
        <v>2.66</v>
      </c>
      <c r="G28" s="140">
        <v>2.72</v>
      </c>
      <c r="H28" s="148">
        <f t="shared" si="9"/>
        <v>2.56</v>
      </c>
      <c r="I28" s="148">
        <f t="shared" si="9"/>
        <v>2.66</v>
      </c>
      <c r="J28" s="148">
        <f t="shared" si="9"/>
        <v>2.7</v>
      </c>
      <c r="K28" s="151">
        <f t="shared" si="0"/>
        <v>2.3933333333333331</v>
      </c>
      <c r="L28" s="152">
        <f t="shared" si="0"/>
        <v>2.5333333333333332</v>
      </c>
      <c r="M28" s="153">
        <f t="shared" si="0"/>
        <v>2.6033333333333335</v>
      </c>
      <c r="N28" s="154">
        <f t="shared" si="1"/>
        <v>44215</v>
      </c>
      <c r="P28" s="156">
        <f t="shared" si="4"/>
        <v>-2.0000000000000018E-2</v>
      </c>
    </row>
    <row r="29" spans="1:16" s="155" customFormat="1" ht="13" x14ac:dyDescent="0.3">
      <c r="A29" s="150">
        <f t="shared" si="5"/>
        <v>44216</v>
      </c>
      <c r="B29" s="145">
        <f t="shared" si="2"/>
        <v>2.04</v>
      </c>
      <c r="C29" s="146">
        <f t="shared" si="6"/>
        <v>2.2799999999999998</v>
      </c>
      <c r="D29" s="147">
        <f t="shared" si="7"/>
        <v>2.39</v>
      </c>
      <c r="E29" s="138">
        <v>2.3650000000000002</v>
      </c>
      <c r="F29" s="139">
        <v>2.44</v>
      </c>
      <c r="G29" s="140">
        <v>2.5049999999999999</v>
      </c>
      <c r="H29" s="158">
        <v>2.27</v>
      </c>
      <c r="I29" s="158">
        <v>2.35</v>
      </c>
      <c r="J29" s="158">
        <v>2.4300000000000002</v>
      </c>
      <c r="K29" s="151">
        <f t="shared" si="0"/>
        <v>2.2250000000000001</v>
      </c>
      <c r="L29" s="152">
        <f t="shared" si="0"/>
        <v>2.3566666666666669</v>
      </c>
      <c r="M29" s="153">
        <f t="shared" si="0"/>
        <v>2.4416666666666664</v>
      </c>
      <c r="N29" s="154">
        <f t="shared" si="1"/>
        <v>44216</v>
      </c>
      <c r="P29" s="144">
        <f t="shared" si="4"/>
        <v>-9.5000000000000195E-2</v>
      </c>
    </row>
    <row r="30" spans="1:16" s="155" customFormat="1" ht="13" x14ac:dyDescent="0.3">
      <c r="A30" s="150">
        <f t="shared" si="5"/>
        <v>44217</v>
      </c>
      <c r="B30" s="145">
        <f t="shared" si="2"/>
        <v>2.04</v>
      </c>
      <c r="C30" s="146">
        <f t="shared" si="6"/>
        <v>2.2799999999999998</v>
      </c>
      <c r="D30" s="147">
        <f t="shared" si="7"/>
        <v>2.39</v>
      </c>
      <c r="E30" s="138">
        <v>2.2450000000000001</v>
      </c>
      <c r="F30" s="139">
        <v>2.34</v>
      </c>
      <c r="G30" s="140">
        <v>2.38</v>
      </c>
      <c r="H30" s="148">
        <f t="shared" ref="H30:J34" si="10">H29</f>
        <v>2.27</v>
      </c>
      <c r="I30" s="148">
        <f t="shared" si="10"/>
        <v>2.35</v>
      </c>
      <c r="J30" s="148">
        <f t="shared" si="10"/>
        <v>2.4300000000000002</v>
      </c>
      <c r="K30" s="151">
        <f t="shared" si="0"/>
        <v>2.1850000000000001</v>
      </c>
      <c r="L30" s="152">
        <f t="shared" si="0"/>
        <v>2.3233333333333328</v>
      </c>
      <c r="M30" s="153">
        <f t="shared" si="0"/>
        <v>2.4</v>
      </c>
      <c r="N30" s="157">
        <f t="shared" si="1"/>
        <v>44217</v>
      </c>
      <c r="P30" s="144">
        <f t="shared" si="4"/>
        <v>2.4999999999999911E-2</v>
      </c>
    </row>
    <row r="31" spans="1:16" s="155" customFormat="1" x14ac:dyDescent="0.25">
      <c r="A31" s="150">
        <f t="shared" si="5"/>
        <v>44218</v>
      </c>
      <c r="B31" s="145">
        <f t="shared" si="2"/>
        <v>2.04</v>
      </c>
      <c r="C31" s="146">
        <f t="shared" si="6"/>
        <v>2.2799999999999998</v>
      </c>
      <c r="D31" s="147">
        <f t="shared" si="7"/>
        <v>2.39</v>
      </c>
      <c r="E31" s="138">
        <v>2.2599999999999998</v>
      </c>
      <c r="F31" s="139">
        <v>2.36</v>
      </c>
      <c r="G31" s="140">
        <v>2.42</v>
      </c>
      <c r="H31" s="148">
        <f t="shared" si="10"/>
        <v>2.27</v>
      </c>
      <c r="I31" s="148">
        <f t="shared" si="10"/>
        <v>2.35</v>
      </c>
      <c r="J31" s="148">
        <f t="shared" si="10"/>
        <v>2.4300000000000002</v>
      </c>
      <c r="K31" s="151">
        <f t="shared" si="0"/>
        <v>2.19</v>
      </c>
      <c r="L31" s="152">
        <f t="shared" si="0"/>
        <v>2.33</v>
      </c>
      <c r="M31" s="153">
        <f t="shared" si="0"/>
        <v>2.4133333333333336</v>
      </c>
      <c r="N31" s="154">
        <f t="shared" si="1"/>
        <v>44218</v>
      </c>
      <c r="P31" s="144">
        <f t="shared" si="4"/>
        <v>1.0000000000000231E-2</v>
      </c>
    </row>
    <row r="32" spans="1:16" s="155" customFormat="1" x14ac:dyDescent="0.25">
      <c r="A32" s="150">
        <f t="shared" si="5"/>
        <v>44219</v>
      </c>
      <c r="B32" s="145">
        <f t="shared" si="2"/>
        <v>2.04</v>
      </c>
      <c r="C32" s="146">
        <f t="shared" si="6"/>
        <v>2.2799999999999998</v>
      </c>
      <c r="D32" s="147">
        <f t="shared" si="7"/>
        <v>2.39</v>
      </c>
      <c r="E32" s="138">
        <v>2.2349999999999999</v>
      </c>
      <c r="F32" s="139">
        <v>2.3250000000000002</v>
      </c>
      <c r="G32" s="140">
        <v>2.395</v>
      </c>
      <c r="H32" s="148">
        <f t="shared" si="10"/>
        <v>2.27</v>
      </c>
      <c r="I32" s="148">
        <f t="shared" si="10"/>
        <v>2.35</v>
      </c>
      <c r="J32" s="148">
        <f t="shared" si="10"/>
        <v>2.4300000000000002</v>
      </c>
      <c r="K32" s="151">
        <f t="shared" si="0"/>
        <v>2.1816666666666666</v>
      </c>
      <c r="L32" s="152">
        <f t="shared" si="0"/>
        <v>2.3183333333333334</v>
      </c>
      <c r="M32" s="153">
        <f t="shared" si="0"/>
        <v>2.4049999999999998</v>
      </c>
      <c r="N32" s="154">
        <f t="shared" si="1"/>
        <v>44219</v>
      </c>
      <c r="P32" s="144">
        <f t="shared" si="4"/>
        <v>3.5000000000000142E-2</v>
      </c>
    </row>
    <row r="33" spans="1:16" s="155" customFormat="1" x14ac:dyDescent="0.25">
      <c r="A33" s="150">
        <f t="shared" si="5"/>
        <v>44220</v>
      </c>
      <c r="B33" s="145">
        <f t="shared" si="2"/>
        <v>2.04</v>
      </c>
      <c r="C33" s="146">
        <f t="shared" si="6"/>
        <v>2.2799999999999998</v>
      </c>
      <c r="D33" s="147">
        <f t="shared" si="7"/>
        <v>2.39</v>
      </c>
      <c r="E33" s="138">
        <v>2.2349999999999999</v>
      </c>
      <c r="F33" s="139">
        <v>2.3250000000000002</v>
      </c>
      <c r="G33" s="140">
        <v>2.395</v>
      </c>
      <c r="H33" s="148">
        <f t="shared" si="10"/>
        <v>2.27</v>
      </c>
      <c r="I33" s="148">
        <f t="shared" si="10"/>
        <v>2.35</v>
      </c>
      <c r="J33" s="148">
        <f t="shared" si="10"/>
        <v>2.4300000000000002</v>
      </c>
      <c r="K33" s="151">
        <f t="shared" si="0"/>
        <v>2.1816666666666666</v>
      </c>
      <c r="L33" s="152">
        <f t="shared" si="0"/>
        <v>2.3183333333333334</v>
      </c>
      <c r="M33" s="153">
        <f t="shared" si="0"/>
        <v>2.4049999999999998</v>
      </c>
      <c r="N33" s="154">
        <f t="shared" si="1"/>
        <v>44220</v>
      </c>
      <c r="P33" s="144">
        <f t="shared" si="4"/>
        <v>3.5000000000000142E-2</v>
      </c>
    </row>
    <row r="34" spans="1:16" s="155" customFormat="1" x14ac:dyDescent="0.25">
      <c r="A34" s="150">
        <f t="shared" si="5"/>
        <v>44221</v>
      </c>
      <c r="B34" s="145">
        <f t="shared" si="2"/>
        <v>2.04</v>
      </c>
      <c r="C34" s="146">
        <f t="shared" si="6"/>
        <v>2.2799999999999998</v>
      </c>
      <c r="D34" s="147">
        <f t="shared" si="7"/>
        <v>2.39</v>
      </c>
      <c r="E34" s="138">
        <v>2.2349999999999999</v>
      </c>
      <c r="F34" s="139">
        <v>2.3250000000000002</v>
      </c>
      <c r="G34" s="140">
        <v>2.395</v>
      </c>
      <c r="H34" s="148">
        <f t="shared" si="10"/>
        <v>2.27</v>
      </c>
      <c r="I34" s="148">
        <f t="shared" si="10"/>
        <v>2.35</v>
      </c>
      <c r="J34" s="148">
        <f t="shared" si="10"/>
        <v>2.4300000000000002</v>
      </c>
      <c r="K34" s="151">
        <f t="shared" si="0"/>
        <v>2.1816666666666666</v>
      </c>
      <c r="L34" s="152">
        <f t="shared" si="0"/>
        <v>2.3183333333333334</v>
      </c>
      <c r="M34" s="153">
        <f t="shared" si="0"/>
        <v>2.4049999999999998</v>
      </c>
      <c r="N34" s="154">
        <f t="shared" si="1"/>
        <v>44221</v>
      </c>
      <c r="P34" s="156">
        <f t="shared" si="4"/>
        <v>3.5000000000000142E-2</v>
      </c>
    </row>
    <row r="35" spans="1:16" s="155" customFormat="1" ht="13" x14ac:dyDescent="0.3">
      <c r="A35" s="150">
        <f t="shared" si="5"/>
        <v>44222</v>
      </c>
      <c r="B35" s="145">
        <f t="shared" si="2"/>
        <v>2.04</v>
      </c>
      <c r="C35" s="146">
        <f t="shared" si="6"/>
        <v>2.2799999999999998</v>
      </c>
      <c r="D35" s="147">
        <f t="shared" si="7"/>
        <v>2.39</v>
      </c>
      <c r="E35" s="138">
        <v>2.3050000000000002</v>
      </c>
      <c r="F35" s="139">
        <v>2.41</v>
      </c>
      <c r="G35" s="140">
        <v>2.4750000000000001</v>
      </c>
      <c r="H35" s="158">
        <v>2.41</v>
      </c>
      <c r="I35" s="158">
        <v>2.52</v>
      </c>
      <c r="J35" s="158">
        <v>2.6</v>
      </c>
      <c r="K35" s="151">
        <f t="shared" si="0"/>
        <v>2.2516666666666669</v>
      </c>
      <c r="L35" s="152">
        <f t="shared" si="0"/>
        <v>2.4033333333333329</v>
      </c>
      <c r="M35" s="153">
        <f t="shared" si="0"/>
        <v>2.4883333333333333</v>
      </c>
      <c r="N35" s="154">
        <f t="shared" si="1"/>
        <v>44222</v>
      </c>
      <c r="P35" s="156">
        <f t="shared" si="4"/>
        <v>0.10499999999999998</v>
      </c>
    </row>
    <row r="36" spans="1:16" x14ac:dyDescent="0.25">
      <c r="A36" s="109">
        <f t="shared" si="5"/>
        <v>44223</v>
      </c>
      <c r="B36" s="145">
        <f t="shared" si="2"/>
        <v>2.04</v>
      </c>
      <c r="C36" s="146">
        <f t="shared" si="6"/>
        <v>2.2799999999999998</v>
      </c>
      <c r="D36" s="147">
        <f t="shared" si="7"/>
        <v>2.39</v>
      </c>
      <c r="E36" s="138">
        <v>2.4049999999999998</v>
      </c>
      <c r="F36" s="139">
        <v>2.5150000000000001</v>
      </c>
      <c r="G36" s="140">
        <v>2.585</v>
      </c>
      <c r="H36" s="148">
        <f t="shared" ref="H36:J40" si="11">H35</f>
        <v>2.41</v>
      </c>
      <c r="I36" s="148">
        <f t="shared" si="11"/>
        <v>2.52</v>
      </c>
      <c r="J36" s="148">
        <f t="shared" si="11"/>
        <v>2.6</v>
      </c>
      <c r="K36" s="151">
        <f t="shared" si="0"/>
        <v>2.2850000000000001</v>
      </c>
      <c r="L36" s="142">
        <f t="shared" si="0"/>
        <v>2.438333333333333</v>
      </c>
      <c r="M36" s="143">
        <f t="shared" si="0"/>
        <v>2.5249999999999999</v>
      </c>
      <c r="N36" s="154">
        <f t="shared" si="1"/>
        <v>44223</v>
      </c>
      <c r="P36" s="144">
        <f>H36-E36</f>
        <v>5.0000000000003375E-3</v>
      </c>
    </row>
    <row r="37" spans="1:16" ht="13" x14ac:dyDescent="0.3">
      <c r="A37" s="109">
        <f t="shared" si="5"/>
        <v>44224</v>
      </c>
      <c r="B37" s="145">
        <f t="shared" si="2"/>
        <v>2.04</v>
      </c>
      <c r="C37" s="146">
        <f t="shared" si="6"/>
        <v>2.2799999999999998</v>
      </c>
      <c r="D37" s="147">
        <f t="shared" si="7"/>
        <v>2.39</v>
      </c>
      <c r="E37" s="138">
        <v>2.4900000000000002</v>
      </c>
      <c r="F37" s="139">
        <v>2.5950000000000002</v>
      </c>
      <c r="G37" s="140">
        <v>2.6749999999999998</v>
      </c>
      <c r="H37" s="148">
        <f t="shared" si="11"/>
        <v>2.41</v>
      </c>
      <c r="I37" s="148">
        <f t="shared" si="11"/>
        <v>2.52</v>
      </c>
      <c r="J37" s="148">
        <f t="shared" si="11"/>
        <v>2.6</v>
      </c>
      <c r="K37" s="151">
        <f t="shared" si="0"/>
        <v>2.3133333333333335</v>
      </c>
      <c r="L37" s="142">
        <f t="shared" si="0"/>
        <v>2.4649999999999999</v>
      </c>
      <c r="M37" s="143">
        <f t="shared" si="0"/>
        <v>2.5549999999999997</v>
      </c>
      <c r="N37" s="157">
        <f t="shared" si="1"/>
        <v>44224</v>
      </c>
      <c r="P37" s="144">
        <f t="shared" si="4"/>
        <v>-8.0000000000000071E-2</v>
      </c>
    </row>
    <row r="38" spans="1:16" s="155" customFormat="1" x14ac:dyDescent="0.25">
      <c r="A38" s="150">
        <f t="shared" si="5"/>
        <v>44225</v>
      </c>
      <c r="B38" s="145">
        <f t="shared" si="2"/>
        <v>2.04</v>
      </c>
      <c r="C38" s="146">
        <f t="shared" si="6"/>
        <v>2.2799999999999998</v>
      </c>
      <c r="D38" s="147">
        <f t="shared" si="7"/>
        <v>2.39</v>
      </c>
      <c r="E38" s="138">
        <v>2.41</v>
      </c>
      <c r="F38" s="139">
        <v>2.54</v>
      </c>
      <c r="G38" s="140">
        <v>2.58</v>
      </c>
      <c r="H38" s="148">
        <f t="shared" si="11"/>
        <v>2.41</v>
      </c>
      <c r="I38" s="148">
        <f t="shared" si="11"/>
        <v>2.52</v>
      </c>
      <c r="J38" s="148">
        <f t="shared" si="11"/>
        <v>2.6</v>
      </c>
      <c r="K38" s="151">
        <f t="shared" ref="K38:M40" si="12">AVERAGE(B38,E38,H38)</f>
        <v>2.2866666666666666</v>
      </c>
      <c r="L38" s="152">
        <f t="shared" si="12"/>
        <v>2.4466666666666668</v>
      </c>
      <c r="M38" s="153">
        <f t="shared" si="12"/>
        <v>2.5233333333333334</v>
      </c>
      <c r="N38" s="154">
        <f t="shared" si="1"/>
        <v>44225</v>
      </c>
      <c r="P38" s="156">
        <f t="shared" si="4"/>
        <v>0</v>
      </c>
    </row>
    <row r="39" spans="1:16" ht="13" x14ac:dyDescent="0.3">
      <c r="A39" s="109">
        <f t="shared" si="5"/>
        <v>44226</v>
      </c>
      <c r="B39" s="145">
        <f t="shared" si="2"/>
        <v>2.04</v>
      </c>
      <c r="C39" s="146">
        <f t="shared" si="6"/>
        <v>2.2799999999999998</v>
      </c>
      <c r="D39" s="147">
        <f t="shared" si="7"/>
        <v>2.39</v>
      </c>
      <c r="E39" s="138">
        <v>2.41</v>
      </c>
      <c r="F39" s="139">
        <v>2.54</v>
      </c>
      <c r="G39" s="140">
        <v>2.58</v>
      </c>
      <c r="H39" s="148">
        <f t="shared" si="11"/>
        <v>2.41</v>
      </c>
      <c r="I39" s="148">
        <f t="shared" si="11"/>
        <v>2.52</v>
      </c>
      <c r="J39" s="148">
        <f t="shared" si="11"/>
        <v>2.6</v>
      </c>
      <c r="K39" s="151">
        <f t="shared" si="12"/>
        <v>2.2866666666666666</v>
      </c>
      <c r="L39" s="142">
        <f t="shared" si="12"/>
        <v>2.4466666666666668</v>
      </c>
      <c r="M39" s="143">
        <f t="shared" si="12"/>
        <v>2.5233333333333334</v>
      </c>
      <c r="N39" s="157">
        <f t="shared" si="1"/>
        <v>44226</v>
      </c>
      <c r="P39" s="144">
        <f t="shared" si="4"/>
        <v>0</v>
      </c>
    </row>
    <row r="40" spans="1:16" ht="13" x14ac:dyDescent="0.3">
      <c r="A40" s="109">
        <f t="shared" si="5"/>
        <v>44227</v>
      </c>
      <c r="B40" s="145">
        <f t="shared" si="2"/>
        <v>2.04</v>
      </c>
      <c r="C40" s="146">
        <f t="shared" si="6"/>
        <v>2.2799999999999998</v>
      </c>
      <c r="D40" s="147">
        <f t="shared" si="7"/>
        <v>2.39</v>
      </c>
      <c r="E40" s="138">
        <v>2.41</v>
      </c>
      <c r="F40" s="139">
        <v>2.54</v>
      </c>
      <c r="G40" s="140">
        <v>2.58</v>
      </c>
      <c r="H40" s="148">
        <f t="shared" si="11"/>
        <v>2.41</v>
      </c>
      <c r="I40" s="148">
        <f t="shared" si="11"/>
        <v>2.52</v>
      </c>
      <c r="J40" s="148">
        <f t="shared" si="11"/>
        <v>2.6</v>
      </c>
      <c r="K40" s="151">
        <f t="shared" si="12"/>
        <v>2.2866666666666666</v>
      </c>
      <c r="L40" s="142">
        <f t="shared" si="12"/>
        <v>2.4466666666666668</v>
      </c>
      <c r="M40" s="143">
        <f t="shared" si="12"/>
        <v>2.5233333333333334</v>
      </c>
      <c r="N40" s="157">
        <f t="shared" si="1"/>
        <v>44227</v>
      </c>
      <c r="P40" s="144">
        <f t="shared" si="4"/>
        <v>0</v>
      </c>
    </row>
    <row r="41" spans="1:16" x14ac:dyDescent="0.25">
      <c r="B41" s="145"/>
      <c r="C41" s="146"/>
      <c r="D41" s="147"/>
      <c r="E41" s="159"/>
      <c r="F41" s="160"/>
      <c r="G41" s="161"/>
      <c r="H41" s="159"/>
      <c r="I41" s="160"/>
      <c r="J41" s="161"/>
      <c r="K41" s="141"/>
      <c r="L41" s="142"/>
      <c r="M41" s="143"/>
    </row>
    <row r="42" spans="1:16" s="155" customFormat="1" ht="13" x14ac:dyDescent="0.3">
      <c r="A42" s="162" t="s">
        <v>102</v>
      </c>
      <c r="B42" s="163">
        <f t="shared" ref="B42:M42" si="13">AVERAGE(B10:B40)</f>
        <v>2.0399999999999996</v>
      </c>
      <c r="C42" s="163">
        <f t="shared" si="13"/>
        <v>2.2800000000000007</v>
      </c>
      <c r="D42" s="163">
        <f t="shared" si="13"/>
        <v>2.39</v>
      </c>
      <c r="E42" s="163">
        <f t="shared" si="13"/>
        <v>2.3851612903225798</v>
      </c>
      <c r="F42" s="163">
        <f t="shared" si="13"/>
        <v>2.4912903225806455</v>
      </c>
      <c r="G42" s="163">
        <f t="shared" si="13"/>
        <v>2.5596774193548386</v>
      </c>
      <c r="H42" s="163">
        <f t="shared" si="13"/>
        <v>2.3932258064516132</v>
      </c>
      <c r="I42" s="163">
        <f t="shared" si="13"/>
        <v>2.4896774193548374</v>
      </c>
      <c r="J42" s="163">
        <f t="shared" si="13"/>
        <v>2.56516129032258</v>
      </c>
      <c r="K42" s="163">
        <f t="shared" si="13"/>
        <v>2.27279569892473</v>
      </c>
      <c r="L42" s="163">
        <f t="shared" si="13"/>
        <v>2.4203225806451623</v>
      </c>
      <c r="M42" s="163">
        <f t="shared" si="13"/>
        <v>2.5049462365591406</v>
      </c>
      <c r="N42" s="164"/>
    </row>
    <row r="43" spans="1:16" x14ac:dyDescent="0.25">
      <c r="B43" s="165"/>
      <c r="C43" s="165"/>
      <c r="D43" s="165"/>
      <c r="E43" s="165"/>
      <c r="F43" s="165"/>
      <c r="G43" s="165"/>
      <c r="H43" s="165"/>
      <c r="I43" s="165"/>
      <c r="J43" s="165"/>
      <c r="K43" s="166"/>
      <c r="L43" s="167"/>
    </row>
    <row r="44" spans="1:16" x14ac:dyDescent="0.25">
      <c r="B44" s="165"/>
      <c r="C44" s="165"/>
      <c r="D44" s="165"/>
      <c r="E44" s="165"/>
      <c r="F44" s="165"/>
      <c r="G44" s="168"/>
      <c r="H44" s="169"/>
      <c r="I44" s="168"/>
      <c r="J44" s="165"/>
      <c r="K44" s="166"/>
      <c r="L44" s="167"/>
    </row>
    <row r="45" spans="1:16" x14ac:dyDescent="0.25">
      <c r="B45" s="165"/>
      <c r="C45" s="165"/>
      <c r="D45" s="165"/>
      <c r="E45" s="165"/>
      <c r="F45" s="165"/>
      <c r="G45" s="165"/>
      <c r="H45" s="165"/>
      <c r="I45" s="165"/>
      <c r="J45" s="165"/>
      <c r="K45" s="166"/>
      <c r="L45" s="167"/>
    </row>
    <row r="46" spans="1:16" x14ac:dyDescent="0.25">
      <c r="B46" s="165"/>
      <c r="C46" s="165"/>
      <c r="D46" s="165"/>
      <c r="E46" s="165"/>
      <c r="F46" s="165"/>
      <c r="G46" s="165"/>
      <c r="H46" s="165"/>
      <c r="I46" s="165"/>
      <c r="J46" s="165"/>
      <c r="K46" s="166"/>
      <c r="L46" s="167"/>
    </row>
    <row r="47" spans="1:16" x14ac:dyDescent="0.25">
      <c r="B47" s="165"/>
      <c r="C47" s="165"/>
      <c r="D47" s="165"/>
      <c r="E47" s="165"/>
      <c r="F47" s="165"/>
      <c r="G47" s="165"/>
      <c r="H47" s="165"/>
      <c r="I47" s="165"/>
      <c r="J47" s="165"/>
      <c r="K47" s="166"/>
      <c r="L47" s="167"/>
    </row>
    <row r="48" spans="1:16" ht="13" x14ac:dyDescent="0.3">
      <c r="A48" s="170" t="s">
        <v>103</v>
      </c>
      <c r="B48" s="171"/>
      <c r="C48" s="171"/>
      <c r="D48" s="171"/>
      <c r="E48" s="171"/>
      <c r="F48" s="171"/>
      <c r="G48" s="171"/>
      <c r="H48" s="171"/>
      <c r="I48" s="171"/>
      <c r="J48" s="172"/>
      <c r="K48" s="166"/>
      <c r="L48" s="167"/>
    </row>
    <row r="49" spans="1:17" x14ac:dyDescent="0.25">
      <c r="A49" s="173"/>
      <c r="B49" s="142"/>
      <c r="C49" s="142"/>
      <c r="D49" s="142"/>
      <c r="E49" s="142"/>
      <c r="F49" s="142"/>
      <c r="G49" s="142"/>
      <c r="H49" s="142"/>
      <c r="I49" s="142"/>
      <c r="J49" s="174"/>
      <c r="K49" s="166"/>
      <c r="L49" s="167"/>
    </row>
    <row r="50" spans="1:17" ht="14" x14ac:dyDescent="0.3">
      <c r="A50" s="175"/>
      <c r="B50" s="176"/>
      <c r="C50" s="176"/>
      <c r="D50" s="176"/>
      <c r="E50" s="177" t="s">
        <v>104</v>
      </c>
      <c r="F50" s="177" t="s">
        <v>104</v>
      </c>
      <c r="G50" s="177" t="s">
        <v>105</v>
      </c>
      <c r="H50" s="176"/>
      <c r="I50" s="176"/>
      <c r="J50" s="178"/>
      <c r="L50" s="167"/>
      <c r="M50" s="179"/>
    </row>
    <row r="51" spans="1:17" ht="15" customHeight="1" x14ac:dyDescent="0.3">
      <c r="A51" s="175"/>
      <c r="B51" s="180" t="s">
        <v>42</v>
      </c>
      <c r="C51" s="180" t="s">
        <v>106</v>
      </c>
      <c r="D51" s="176"/>
      <c r="E51" s="180" t="s">
        <v>107</v>
      </c>
      <c r="F51" s="180" t="s">
        <v>108</v>
      </c>
      <c r="G51" s="180" t="s">
        <v>108</v>
      </c>
      <c r="H51" s="205" t="s">
        <v>109</v>
      </c>
      <c r="I51" s="205"/>
      <c r="J51" s="178"/>
      <c r="K51" s="181"/>
      <c r="L51" s="182"/>
      <c r="M51" s="179"/>
    </row>
    <row r="52" spans="1:17" ht="15" customHeight="1" x14ac:dyDescent="0.3">
      <c r="A52" s="175"/>
      <c r="B52" s="176" t="s">
        <v>55</v>
      </c>
      <c r="C52" s="176" t="s">
        <v>110</v>
      </c>
      <c r="D52" s="176"/>
      <c r="E52" s="183">
        <f>644100-133300</f>
        <v>510800</v>
      </c>
      <c r="F52" s="184">
        <f>1446938.1-312855.1</f>
        <v>1134083</v>
      </c>
      <c r="G52" s="185">
        <f>E52*$K$42</f>
        <v>1160944.0430107522</v>
      </c>
      <c r="H52" s="176"/>
      <c r="I52" s="186">
        <f>G52-F52</f>
        <v>26861.043010752182</v>
      </c>
      <c r="J52" s="178"/>
      <c r="L52" s="167"/>
      <c r="M52" s="179"/>
    </row>
    <row r="53" spans="1:17" ht="14" x14ac:dyDescent="0.3">
      <c r="A53" s="175"/>
      <c r="B53" s="176" t="s">
        <v>111</v>
      </c>
      <c r="C53" s="176" t="s">
        <v>112</v>
      </c>
      <c r="D53" s="176"/>
      <c r="E53" s="183">
        <v>0</v>
      </c>
      <c r="F53" s="184">
        <v>0</v>
      </c>
      <c r="G53" s="185">
        <f>E53*$L$42</f>
        <v>0</v>
      </c>
      <c r="H53" s="176"/>
      <c r="I53" s="186">
        <f t="shared" ref="I53:I54" si="14">G53-F53</f>
        <v>0</v>
      </c>
      <c r="J53" s="178"/>
      <c r="L53" s="167"/>
      <c r="M53" s="179"/>
    </row>
    <row r="54" spans="1:17" s="103" customFormat="1" ht="14" x14ac:dyDescent="0.3">
      <c r="A54" s="175"/>
      <c r="B54" s="176" t="s">
        <v>113</v>
      </c>
      <c r="C54" s="176">
        <v>500</v>
      </c>
      <c r="D54" s="176"/>
      <c r="E54" s="183">
        <v>0</v>
      </c>
      <c r="F54" s="184">
        <v>0</v>
      </c>
      <c r="G54" s="185">
        <f>E54*$M$42</f>
        <v>0</v>
      </c>
      <c r="H54" s="176"/>
      <c r="I54" s="186">
        <f t="shared" si="14"/>
        <v>0</v>
      </c>
      <c r="J54" s="178"/>
      <c r="L54" s="167"/>
      <c r="M54" s="179"/>
      <c r="O54" s="104"/>
      <c r="P54" s="104"/>
      <c r="Q54" s="104"/>
    </row>
    <row r="55" spans="1:17" s="103" customFormat="1" ht="14.5" thickBot="1" x14ac:dyDescent="0.35">
      <c r="A55" s="175"/>
      <c r="B55" s="176"/>
      <c r="C55" s="176"/>
      <c r="D55" s="176"/>
      <c r="E55" s="183"/>
      <c r="F55" s="184"/>
      <c r="G55" s="176"/>
      <c r="H55" s="176"/>
      <c r="I55" s="176"/>
      <c r="J55" s="178"/>
      <c r="L55" s="167"/>
      <c r="M55" s="179"/>
      <c r="O55" s="104"/>
      <c r="P55" s="104"/>
      <c r="Q55" s="104"/>
    </row>
    <row r="56" spans="1:17" s="103" customFormat="1" ht="14.5" thickBot="1" x14ac:dyDescent="0.35">
      <c r="A56" s="175"/>
      <c r="B56" s="176"/>
      <c r="C56" s="176"/>
      <c r="D56" s="176"/>
      <c r="E56" s="183"/>
      <c r="F56" s="184"/>
      <c r="G56" s="176"/>
      <c r="H56" s="187"/>
      <c r="I56" s="188">
        <f>SUM(I52:I55)</f>
        <v>26861.043010752182</v>
      </c>
      <c r="J56" s="178"/>
      <c r="L56" s="167"/>
      <c r="M56" s="179"/>
      <c r="O56" s="104"/>
      <c r="P56" s="104"/>
      <c r="Q56" s="104"/>
    </row>
    <row r="57" spans="1:17" s="103" customFormat="1" ht="14" x14ac:dyDescent="0.3">
      <c r="A57" s="189"/>
      <c r="B57" s="190"/>
      <c r="C57" s="190"/>
      <c r="D57" s="190"/>
      <c r="E57" s="191"/>
      <c r="F57" s="190"/>
      <c r="G57" s="190"/>
      <c r="H57" s="190"/>
      <c r="I57" s="190"/>
      <c r="J57" s="192"/>
      <c r="L57" s="167"/>
      <c r="M57" s="179"/>
      <c r="O57" s="104"/>
      <c r="P57" s="104"/>
      <c r="Q57" s="104"/>
    </row>
    <row r="58" spans="1:17" s="103" customFormat="1" ht="14" x14ac:dyDescent="0.3">
      <c r="A58" s="109"/>
      <c r="L58" s="167"/>
      <c r="M58" s="179"/>
      <c r="O58" s="104"/>
      <c r="P58" s="104"/>
      <c r="Q58" s="104"/>
    </row>
    <row r="59" spans="1:17" s="103" customFormat="1" ht="14" x14ac:dyDescent="0.3">
      <c r="A59" s="193"/>
      <c r="L59" s="167"/>
      <c r="M59" s="179"/>
      <c r="O59" s="104"/>
      <c r="P59" s="104"/>
      <c r="Q59" s="104"/>
    </row>
    <row r="60" spans="1:17" s="103" customFormat="1" ht="14" x14ac:dyDescent="0.3">
      <c r="A60" s="109"/>
      <c r="L60" s="167"/>
      <c r="M60" s="179"/>
      <c r="O60" s="104"/>
      <c r="P60" s="104"/>
      <c r="Q60" s="104"/>
    </row>
    <row r="61" spans="1:17" s="103" customFormat="1" x14ac:dyDescent="0.25">
      <c r="A61" s="109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167"/>
      <c r="O61" s="104"/>
      <c r="P61" s="104"/>
      <c r="Q61" s="104"/>
    </row>
    <row r="62" spans="1:17" s="103" customFormat="1" ht="13" x14ac:dyDescent="0.3">
      <c r="A62" s="170" t="s">
        <v>114</v>
      </c>
      <c r="B62" s="171"/>
      <c r="C62" s="171"/>
      <c r="D62" s="171"/>
      <c r="E62" s="171"/>
      <c r="F62" s="171"/>
      <c r="G62" s="171"/>
      <c r="H62" s="171"/>
      <c r="I62" s="171"/>
      <c r="J62" s="172"/>
      <c r="K62" s="166"/>
      <c r="L62" s="167"/>
      <c r="O62" s="104"/>
      <c r="P62" s="104"/>
      <c r="Q62" s="104"/>
    </row>
    <row r="63" spans="1:17" s="103" customFormat="1" x14ac:dyDescent="0.25">
      <c r="A63" s="173"/>
      <c r="B63" s="142"/>
      <c r="C63" s="142"/>
      <c r="D63" s="142"/>
      <c r="E63" s="142"/>
      <c r="F63" s="142"/>
      <c r="G63" s="142"/>
      <c r="H63" s="142"/>
      <c r="I63" s="142"/>
      <c r="J63" s="174"/>
      <c r="K63" s="166"/>
      <c r="L63" s="167"/>
      <c r="O63" s="104"/>
      <c r="P63" s="104"/>
      <c r="Q63" s="104"/>
    </row>
    <row r="64" spans="1:17" s="103" customFormat="1" ht="13" x14ac:dyDescent="0.3">
      <c r="A64" s="175"/>
      <c r="B64" s="176"/>
      <c r="C64" s="176"/>
      <c r="D64" s="176"/>
      <c r="E64" s="177" t="s">
        <v>104</v>
      </c>
      <c r="F64" s="177" t="s">
        <v>104</v>
      </c>
      <c r="G64" s="177" t="s">
        <v>105</v>
      </c>
      <c r="H64" s="176"/>
      <c r="I64" s="176"/>
      <c r="J64" s="178"/>
      <c r="L64" s="167"/>
      <c r="M64" s="194"/>
      <c r="O64" s="104"/>
      <c r="P64" s="104"/>
      <c r="Q64" s="104"/>
    </row>
    <row r="65" spans="1:17" s="103" customFormat="1" ht="13" x14ac:dyDescent="0.3">
      <c r="A65" s="175"/>
      <c r="B65" s="180" t="s">
        <v>42</v>
      </c>
      <c r="C65" s="180" t="s">
        <v>106</v>
      </c>
      <c r="D65" s="176"/>
      <c r="E65" s="180" t="s">
        <v>107</v>
      </c>
      <c r="F65" s="180" t="s">
        <v>108</v>
      </c>
      <c r="G65" s="180" t="s">
        <v>108</v>
      </c>
      <c r="H65" s="205" t="s">
        <v>109</v>
      </c>
      <c r="I65" s="205"/>
      <c r="J65" s="178"/>
      <c r="L65" s="167"/>
      <c r="O65" s="104"/>
      <c r="P65" s="104"/>
      <c r="Q65" s="104"/>
    </row>
    <row r="66" spans="1:17" x14ac:dyDescent="0.25">
      <c r="A66" s="175"/>
      <c r="B66" s="176" t="s">
        <v>55</v>
      </c>
      <c r="C66" s="176" t="s">
        <v>110</v>
      </c>
      <c r="D66" s="176"/>
      <c r="E66" s="183">
        <v>0</v>
      </c>
      <c r="F66" s="184">
        <v>0</v>
      </c>
      <c r="G66" s="185">
        <f>E66*$K$42</f>
        <v>0</v>
      </c>
      <c r="H66" s="176"/>
      <c r="I66" s="186">
        <f>G66-F66</f>
        <v>0</v>
      </c>
      <c r="J66" s="178"/>
    </row>
    <row r="67" spans="1:17" s="103" customFormat="1" x14ac:dyDescent="0.25">
      <c r="A67" s="175"/>
      <c r="B67" s="176" t="s">
        <v>111</v>
      </c>
      <c r="C67" s="176" t="s">
        <v>112</v>
      </c>
      <c r="D67" s="176"/>
      <c r="E67" s="183">
        <v>0</v>
      </c>
      <c r="F67" s="184">
        <v>0</v>
      </c>
      <c r="G67" s="185">
        <f>E67*$L$42</f>
        <v>0</v>
      </c>
      <c r="H67" s="176"/>
      <c r="I67" s="186">
        <f t="shared" ref="I67:I68" si="15">G67-F67</f>
        <v>0</v>
      </c>
      <c r="J67" s="178"/>
      <c r="K67" s="166"/>
      <c r="L67" s="167"/>
      <c r="O67" s="104"/>
      <c r="P67" s="104"/>
      <c r="Q67" s="104"/>
    </row>
    <row r="68" spans="1:17" s="103" customFormat="1" x14ac:dyDescent="0.25">
      <c r="A68" s="175"/>
      <c r="B68" s="176" t="s">
        <v>113</v>
      </c>
      <c r="C68" s="176">
        <v>500</v>
      </c>
      <c r="D68" s="176"/>
      <c r="E68" s="183">
        <v>0</v>
      </c>
      <c r="F68" s="184">
        <v>0</v>
      </c>
      <c r="G68" s="185">
        <f>E68*$M$42</f>
        <v>0</v>
      </c>
      <c r="H68" s="176"/>
      <c r="I68" s="186">
        <f t="shared" si="15"/>
        <v>0</v>
      </c>
      <c r="J68" s="178"/>
      <c r="K68" s="166"/>
      <c r="L68" s="167"/>
      <c r="O68" s="104"/>
      <c r="P68" s="104"/>
      <c r="Q68" s="104"/>
    </row>
    <row r="69" spans="1:17" s="103" customFormat="1" ht="13" thickBot="1" x14ac:dyDescent="0.3">
      <c r="A69" s="175"/>
      <c r="B69" s="176"/>
      <c r="C69" s="176"/>
      <c r="D69" s="176"/>
      <c r="E69" s="183"/>
      <c r="F69" s="184"/>
      <c r="G69" s="176"/>
      <c r="H69" s="176"/>
      <c r="I69" s="176"/>
      <c r="J69" s="178"/>
      <c r="K69" s="166"/>
      <c r="L69" s="167"/>
      <c r="O69" s="104"/>
      <c r="P69" s="104"/>
      <c r="Q69" s="104"/>
    </row>
    <row r="70" spans="1:17" s="103" customFormat="1" ht="13" thickBot="1" x14ac:dyDescent="0.3">
      <c r="A70" s="175"/>
      <c r="B70" s="176"/>
      <c r="C70" s="176"/>
      <c r="D70" s="176"/>
      <c r="E70" s="183"/>
      <c r="F70" s="184"/>
      <c r="G70" s="176"/>
      <c r="H70" s="187"/>
      <c r="I70" s="188">
        <f>SUM(I66:I69)</f>
        <v>0</v>
      </c>
      <c r="J70" s="178"/>
      <c r="L70" s="167"/>
      <c r="M70" s="194"/>
      <c r="O70" s="104"/>
      <c r="P70" s="104"/>
      <c r="Q70" s="104"/>
    </row>
    <row r="71" spans="1:17" s="103" customFormat="1" x14ac:dyDescent="0.25">
      <c r="A71" s="189"/>
      <c r="B71" s="190"/>
      <c r="C71" s="190"/>
      <c r="D71" s="190"/>
      <c r="E71" s="191"/>
      <c r="F71" s="190"/>
      <c r="G71" s="190"/>
      <c r="H71" s="190"/>
      <c r="I71" s="190"/>
      <c r="J71" s="192"/>
      <c r="L71" s="167"/>
      <c r="O71" s="104"/>
      <c r="P71" s="104"/>
      <c r="Q71" s="104"/>
    </row>
    <row r="72" spans="1:17" s="103" customFormat="1" x14ac:dyDescent="0.25">
      <c r="A72" s="109"/>
      <c r="L72" s="167"/>
      <c r="O72" s="104"/>
      <c r="P72" s="104"/>
      <c r="Q72" s="104"/>
    </row>
    <row r="73" spans="1:17" ht="13" x14ac:dyDescent="0.3">
      <c r="A73" s="193"/>
    </row>
    <row r="74" spans="1:17" s="103" customFormat="1" x14ac:dyDescent="0.25">
      <c r="A74" s="109"/>
      <c r="L74" s="167"/>
      <c r="M74" s="194"/>
      <c r="O74" s="104"/>
      <c r="P74" s="104"/>
      <c r="Q74" s="104"/>
    </row>
    <row r="75" spans="1:17" s="103" customFormat="1" x14ac:dyDescent="0.25">
      <c r="A75" s="109"/>
      <c r="B75" s="165"/>
      <c r="C75" s="165"/>
      <c r="D75" s="165"/>
      <c r="E75" s="165"/>
      <c r="F75" s="165"/>
      <c r="G75" s="165"/>
      <c r="H75" s="165"/>
      <c r="I75" s="165"/>
      <c r="J75" s="165"/>
      <c r="K75" s="166"/>
      <c r="L75" s="167"/>
      <c r="O75" s="104"/>
      <c r="P75" s="104"/>
      <c r="Q75" s="104"/>
    </row>
    <row r="76" spans="1:17" s="103" customFormat="1" x14ac:dyDescent="0.25">
      <c r="A76" s="109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7"/>
      <c r="M76" s="165"/>
      <c r="O76" s="104"/>
      <c r="P76" s="104"/>
      <c r="Q76" s="104"/>
    </row>
    <row r="77" spans="1:17" s="103" customFormat="1" x14ac:dyDescent="0.25">
      <c r="A77" s="109"/>
      <c r="B77" s="165"/>
      <c r="C77" s="165"/>
      <c r="D77" s="165"/>
      <c r="E77" s="165"/>
      <c r="F77" s="165"/>
      <c r="G77" s="165"/>
      <c r="H77" s="165"/>
      <c r="I77" s="165"/>
      <c r="J77" s="165"/>
      <c r="K77" s="166"/>
      <c r="L77" s="167"/>
      <c r="O77" s="104"/>
      <c r="P77" s="104"/>
      <c r="Q77" s="104"/>
    </row>
    <row r="78" spans="1:17" s="103" customFormat="1" x14ac:dyDescent="0.25">
      <c r="A78" s="109"/>
      <c r="B78" s="165"/>
      <c r="C78" s="165"/>
      <c r="D78" s="165"/>
      <c r="E78" s="165"/>
      <c r="F78" s="165"/>
      <c r="G78" s="165"/>
      <c r="H78" s="165"/>
      <c r="I78" s="165"/>
      <c r="J78" s="165"/>
      <c r="K78" s="166"/>
      <c r="L78" s="167"/>
      <c r="M78" s="194"/>
      <c r="O78" s="104"/>
      <c r="P78" s="104"/>
      <c r="Q78" s="104"/>
    </row>
    <row r="79" spans="1:17" s="103" customFormat="1" x14ac:dyDescent="0.25">
      <c r="A79" s="109"/>
      <c r="B79" s="165"/>
      <c r="C79" s="165"/>
      <c r="D79" s="165"/>
      <c r="E79" s="165"/>
      <c r="F79" s="165"/>
      <c r="G79" s="165"/>
      <c r="H79" s="165"/>
      <c r="I79" s="165"/>
      <c r="J79" s="165"/>
      <c r="K79" s="166"/>
      <c r="L79" s="167"/>
      <c r="O79" s="104"/>
      <c r="P79" s="104"/>
      <c r="Q79" s="104"/>
    </row>
    <row r="80" spans="1:17" s="103" customFormat="1" x14ac:dyDescent="0.25">
      <c r="A80" s="109"/>
      <c r="L80" s="167"/>
      <c r="O80" s="104"/>
      <c r="P80" s="104"/>
      <c r="Q80" s="104"/>
    </row>
    <row r="81" spans="1:17" s="103" customFormat="1" x14ac:dyDescent="0.25">
      <c r="A81" s="109"/>
      <c r="L81" s="167"/>
      <c r="O81" s="104"/>
      <c r="P81" s="104"/>
      <c r="Q81" s="104"/>
    </row>
    <row r="82" spans="1:17" s="103" customFormat="1" x14ac:dyDescent="0.25">
      <c r="A82" s="109"/>
      <c r="B82" s="165"/>
      <c r="C82" s="165"/>
      <c r="D82" s="165"/>
      <c r="E82" s="165"/>
      <c r="F82" s="165"/>
      <c r="G82" s="165"/>
      <c r="H82" s="165"/>
      <c r="I82" s="165"/>
      <c r="J82" s="165"/>
      <c r="L82" s="167"/>
      <c r="M82" s="194"/>
      <c r="O82" s="104"/>
      <c r="P82" s="104"/>
      <c r="Q82" s="104"/>
    </row>
  </sheetData>
  <mergeCells count="8">
    <mergeCell ref="H51:I51"/>
    <mergeCell ref="H65:I65"/>
    <mergeCell ref="H6:J6"/>
    <mergeCell ref="K6:M6"/>
    <mergeCell ref="B7:D7"/>
    <mergeCell ref="E7:G7"/>
    <mergeCell ref="H7:J7"/>
    <mergeCell ref="K7:M7"/>
  </mergeCells>
  <pageMargins left="0" right="0" top="0.53" bottom="0.74" header="0.21" footer="0.4"/>
  <pageSetup scale="74" fitToHeight="0" orientation="portrait" r:id="rId1"/>
  <headerFooter alignWithMargins="0">
    <oddHeader xml:space="preserve">&amp;RKY PSC CN 2020-00378  
 Staff's Data Request Set 1 No. 5 Attachment D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Layout" topLeftCell="B1" zoomScaleNormal="100" workbookViewId="0">
      <selection activeCell="L3" sqref="L3"/>
    </sheetView>
  </sheetViews>
  <sheetFormatPr defaultRowHeight="14.5" x14ac:dyDescent="0.35"/>
  <cols>
    <col min="1" max="1" width="15.26953125" customWidth="1"/>
    <col min="2" max="2" width="14.81640625" style="48" customWidth="1"/>
    <col min="3" max="3" width="9.26953125" style="48" customWidth="1"/>
    <col min="4" max="4" width="9.81640625" style="48" customWidth="1"/>
    <col min="5" max="5" width="7.81640625" style="48" customWidth="1"/>
    <col min="6" max="6" width="9.7265625" style="48" customWidth="1"/>
    <col min="7" max="7" width="10" style="49" customWidth="1"/>
    <col min="8" max="8" width="23.54296875" customWidth="1"/>
    <col min="9" max="9" width="1.453125" customWidth="1"/>
    <col min="10" max="10" width="15.26953125" style="50" customWidth="1"/>
    <col min="11" max="11" width="4.1796875" style="50" bestFit="1" customWidth="1"/>
    <col min="12" max="12" width="22.453125" customWidth="1"/>
    <col min="14" max="14" width="16" customWidth="1"/>
    <col min="15" max="15" width="12.81640625" customWidth="1"/>
    <col min="16" max="16" width="11.81640625" bestFit="1" customWidth="1"/>
  </cols>
  <sheetData>
    <row r="1" spans="1:14" ht="18.5" x14ac:dyDescent="0.45">
      <c r="A1" s="1" t="s">
        <v>38</v>
      </c>
    </row>
    <row r="2" spans="1:14" ht="18.5" x14ac:dyDescent="0.45">
      <c r="A2" s="1"/>
    </row>
    <row r="3" spans="1:14" ht="18.5" x14ac:dyDescent="0.45">
      <c r="A3" s="1" t="s">
        <v>39</v>
      </c>
      <c r="B3" s="51">
        <f>'September 20 TCPS CALC'!C9</f>
        <v>44075</v>
      </c>
      <c r="C3" s="52"/>
    </row>
    <row r="5" spans="1:14" x14ac:dyDescent="0.35">
      <c r="D5" s="53" t="s">
        <v>40</v>
      </c>
      <c r="E5" s="53" t="s">
        <v>41</v>
      </c>
    </row>
    <row r="6" spans="1:14" x14ac:dyDescent="0.35">
      <c r="C6" s="54" t="s">
        <v>42</v>
      </c>
      <c r="D6" s="54" t="s">
        <v>43</v>
      </c>
      <c r="E6" s="54" t="s">
        <v>44</v>
      </c>
      <c r="F6" s="54" t="s">
        <v>45</v>
      </c>
      <c r="G6" s="55" t="s">
        <v>46</v>
      </c>
      <c r="H6" s="54" t="s">
        <v>47</v>
      </c>
      <c r="J6" s="56" t="s">
        <v>48</v>
      </c>
      <c r="K6" s="56"/>
      <c r="L6" s="56" t="s">
        <v>49</v>
      </c>
    </row>
    <row r="7" spans="1:14" x14ac:dyDescent="0.35">
      <c r="A7" t="s">
        <v>50</v>
      </c>
      <c r="B7" s="48" t="s">
        <v>51</v>
      </c>
      <c r="C7" s="48" t="s">
        <v>52</v>
      </c>
      <c r="D7" s="48">
        <v>352234</v>
      </c>
      <c r="E7" s="48" t="s">
        <v>53</v>
      </c>
      <c r="F7" s="57">
        <v>16000</v>
      </c>
      <c r="G7" s="58">
        <v>4.5805999999999996</v>
      </c>
      <c r="H7" s="59" t="s">
        <v>54</v>
      </c>
      <c r="J7" s="50">
        <f>F7*G7</f>
        <v>73289.599999999991</v>
      </c>
      <c r="K7" s="60"/>
      <c r="L7" s="50">
        <f>F7*G7</f>
        <v>73289.599999999991</v>
      </c>
      <c r="M7" s="61"/>
      <c r="N7" s="50"/>
    </row>
    <row r="8" spans="1:14" x14ac:dyDescent="0.35">
      <c r="C8" s="48" t="s">
        <v>55</v>
      </c>
      <c r="D8" s="48">
        <v>80160</v>
      </c>
      <c r="E8" s="48" t="s">
        <v>56</v>
      </c>
      <c r="F8" s="57">
        <v>104940</v>
      </c>
      <c r="G8" s="58">
        <v>4.8558000000000003</v>
      </c>
      <c r="H8" s="59" t="s">
        <v>54</v>
      </c>
      <c r="J8" s="62">
        <f>F8*G8</f>
        <v>509567.65200000006</v>
      </c>
      <c r="K8" s="63"/>
      <c r="L8" s="50">
        <f>F8*G8</f>
        <v>509567.65200000006</v>
      </c>
      <c r="N8" s="50"/>
    </row>
    <row r="9" spans="1:14" x14ac:dyDescent="0.35">
      <c r="F9" s="57"/>
      <c r="G9" s="58"/>
      <c r="H9" s="64" t="s">
        <v>57</v>
      </c>
      <c r="I9" s="65"/>
      <c r="J9" s="66">
        <f>SUM(J7:J8)</f>
        <v>582857.25200000009</v>
      </c>
      <c r="K9" s="67"/>
      <c r="L9" s="66">
        <f>SUM(L7:L8)</f>
        <v>582857.25200000009</v>
      </c>
    </row>
    <row r="10" spans="1:14" x14ac:dyDescent="0.35">
      <c r="D10" s="48">
        <v>0</v>
      </c>
      <c r="F10" s="57"/>
      <c r="G10" s="58"/>
      <c r="H10" s="59"/>
      <c r="K10" s="68"/>
      <c r="L10" s="50"/>
    </row>
    <row r="11" spans="1:14" x14ac:dyDescent="0.35">
      <c r="D11" s="48">
        <v>0</v>
      </c>
      <c r="F11" s="69"/>
      <c r="G11" s="70" t="s">
        <v>58</v>
      </c>
      <c r="H11" s="59"/>
      <c r="K11" s="68"/>
      <c r="L11" s="50"/>
    </row>
    <row r="12" spans="1:14" x14ac:dyDescent="0.35">
      <c r="A12" t="s">
        <v>59</v>
      </c>
      <c r="B12" s="48" t="s">
        <v>60</v>
      </c>
      <c r="C12" s="48" t="s">
        <v>52</v>
      </c>
      <c r="D12" s="48">
        <v>352234</v>
      </c>
      <c r="E12" s="48" t="s">
        <v>53</v>
      </c>
      <c r="F12" s="57">
        <v>16000</v>
      </c>
      <c r="G12" s="58">
        <v>4.5805999999999996</v>
      </c>
      <c r="H12" s="59" t="s">
        <v>61</v>
      </c>
      <c r="J12" s="50">
        <f>F12*G12</f>
        <v>73289.599999999991</v>
      </c>
      <c r="K12" s="60"/>
      <c r="L12" s="71">
        <f>F12*G12</f>
        <v>73289.599999999991</v>
      </c>
      <c r="N12" s="50"/>
    </row>
    <row r="13" spans="1:14" x14ac:dyDescent="0.35">
      <c r="C13" s="48" t="s">
        <v>55</v>
      </c>
      <c r="D13" s="48">
        <v>80160</v>
      </c>
      <c r="E13" s="48" t="s">
        <v>56</v>
      </c>
      <c r="F13" s="57">
        <v>104940</v>
      </c>
      <c r="G13" s="58">
        <v>4.1849999999999996</v>
      </c>
      <c r="H13" s="59" t="s">
        <v>61</v>
      </c>
      <c r="J13" s="62">
        <f>F13*G13</f>
        <v>439173.89999999997</v>
      </c>
      <c r="K13" s="63"/>
      <c r="L13" s="71">
        <f>F13*G13</f>
        <v>439173.89999999997</v>
      </c>
      <c r="N13" s="50"/>
    </row>
    <row r="14" spans="1:14" x14ac:dyDescent="0.35">
      <c r="F14" s="57"/>
      <c r="G14" s="58"/>
      <c r="H14" s="72" t="s">
        <v>62</v>
      </c>
      <c r="I14" s="73"/>
      <c r="J14" s="66">
        <f>SUM(J12:J13)</f>
        <v>512463.49999999994</v>
      </c>
      <c r="K14" s="74"/>
      <c r="L14" s="75">
        <f>SUM(L12:L13)</f>
        <v>512463.49999999994</v>
      </c>
      <c r="N14" s="50"/>
    </row>
    <row r="15" spans="1:14" x14ac:dyDescent="0.35">
      <c r="A15" s="76"/>
      <c r="C15" s="53"/>
      <c r="D15" s="53"/>
      <c r="E15" s="53"/>
      <c r="F15" s="77"/>
      <c r="G15" s="78"/>
      <c r="H15" s="79"/>
      <c r="I15" s="80"/>
      <c r="J15" s="81"/>
      <c r="K15" s="62"/>
      <c r="L15" s="81"/>
      <c r="N15" s="50"/>
    </row>
    <row r="16" spans="1:14" x14ac:dyDescent="0.35">
      <c r="F16" s="198" t="s">
        <v>63</v>
      </c>
      <c r="G16" s="198"/>
      <c r="H16" s="198"/>
      <c r="J16" s="82">
        <f>J9-J14</f>
        <v>70393.752000000153</v>
      </c>
      <c r="K16" s="82"/>
      <c r="L16" s="82">
        <f>L9-L14</f>
        <v>70393.752000000153</v>
      </c>
    </row>
    <row r="17" spans="1:16" x14ac:dyDescent="0.35">
      <c r="H17" s="59"/>
      <c r="L17" s="50"/>
    </row>
    <row r="18" spans="1:16" x14ac:dyDescent="0.35">
      <c r="A18" s="80" t="s">
        <v>64</v>
      </c>
      <c r="C18" s="53" t="s">
        <v>55</v>
      </c>
      <c r="D18" s="53" t="s">
        <v>56</v>
      </c>
      <c r="F18" s="57">
        <v>35000</v>
      </c>
      <c r="G18" s="58">
        <f>J18/F18</f>
        <v>1.3804285714285713</v>
      </c>
      <c r="H18" s="59"/>
      <c r="J18" s="62">
        <v>48315</v>
      </c>
      <c r="L18" s="62">
        <v>48315</v>
      </c>
    </row>
    <row r="19" spans="1:16" x14ac:dyDescent="0.35">
      <c r="A19" s="80" t="s">
        <v>64</v>
      </c>
      <c r="C19" s="53" t="s">
        <v>55</v>
      </c>
      <c r="D19" s="53" t="s">
        <v>65</v>
      </c>
      <c r="F19" s="57">
        <v>0</v>
      </c>
      <c r="G19" s="58">
        <v>0</v>
      </c>
      <c r="H19" s="59"/>
      <c r="J19" s="62">
        <v>0</v>
      </c>
      <c r="L19" s="62">
        <v>0</v>
      </c>
    </row>
    <row r="20" spans="1:16" x14ac:dyDescent="0.35">
      <c r="A20" s="80" t="s">
        <v>64</v>
      </c>
      <c r="C20" s="53" t="s">
        <v>66</v>
      </c>
      <c r="D20" s="53" t="s">
        <v>53</v>
      </c>
      <c r="F20" s="57">
        <v>0</v>
      </c>
      <c r="G20" s="58">
        <v>0</v>
      </c>
      <c r="H20" s="59"/>
      <c r="J20" s="62">
        <v>0</v>
      </c>
      <c r="L20" s="62">
        <v>0</v>
      </c>
    </row>
    <row r="21" spans="1:16" x14ac:dyDescent="0.35">
      <c r="A21" s="80" t="s">
        <v>64</v>
      </c>
      <c r="C21" s="53" t="s">
        <v>67</v>
      </c>
      <c r="D21" s="53" t="s">
        <v>65</v>
      </c>
      <c r="F21" s="57">
        <v>0</v>
      </c>
      <c r="G21" s="58">
        <v>0</v>
      </c>
      <c r="H21" s="59"/>
      <c r="J21" s="62">
        <v>0</v>
      </c>
      <c r="L21" s="62">
        <v>0</v>
      </c>
    </row>
    <row r="22" spans="1:16" x14ac:dyDescent="0.35">
      <c r="H22" s="59"/>
      <c r="L22" s="50"/>
    </row>
    <row r="23" spans="1:16" x14ac:dyDescent="0.35">
      <c r="F23" s="198" t="s">
        <v>68</v>
      </c>
      <c r="G23" s="198"/>
      <c r="H23" s="198"/>
      <c r="J23" s="82">
        <f>SUM(J18:J22)</f>
        <v>48315</v>
      </c>
      <c r="L23" s="82">
        <f>SUM(L18:L22)</f>
        <v>48315</v>
      </c>
    </row>
    <row r="24" spans="1:16" x14ac:dyDescent="0.35">
      <c r="H24" s="59"/>
      <c r="L24" s="50"/>
    </row>
    <row r="25" spans="1:16" x14ac:dyDescent="0.35">
      <c r="H25" s="79" t="s">
        <v>69</v>
      </c>
      <c r="J25" s="83">
        <f>J16+J23</f>
        <v>118708.75200000015</v>
      </c>
      <c r="K25" s="84"/>
      <c r="L25" s="83">
        <f>L16+L23</f>
        <v>118708.75200000015</v>
      </c>
      <c r="N25" s="50"/>
      <c r="O25" s="50"/>
      <c r="P25" s="50"/>
    </row>
    <row r="27" spans="1:16" x14ac:dyDescent="0.35">
      <c r="A27" s="199" t="s">
        <v>70</v>
      </c>
      <c r="B27" s="200"/>
      <c r="C27" s="200"/>
      <c r="D27" s="200"/>
      <c r="E27" s="200"/>
      <c r="F27" s="200"/>
      <c r="G27" s="201"/>
    </row>
    <row r="28" spans="1:16" x14ac:dyDescent="0.35">
      <c r="A28" s="85"/>
      <c r="B28" s="86">
        <f>B3</f>
        <v>44075</v>
      </c>
      <c r="C28" s="87" t="s">
        <v>71</v>
      </c>
      <c r="D28" s="88" t="s">
        <v>72</v>
      </c>
      <c r="E28" s="88"/>
      <c r="F28" s="88"/>
      <c r="G28" s="89"/>
    </row>
    <row r="29" spans="1:16" x14ac:dyDescent="0.35">
      <c r="A29" s="90"/>
      <c r="B29" s="91" t="s">
        <v>73</v>
      </c>
      <c r="C29" s="88" t="s">
        <v>74</v>
      </c>
      <c r="D29" s="88" t="s">
        <v>75</v>
      </c>
      <c r="E29" s="202" t="s">
        <v>76</v>
      </c>
      <c r="F29" s="202"/>
      <c r="G29" s="89"/>
    </row>
    <row r="30" spans="1:16" x14ac:dyDescent="0.35">
      <c r="A30" s="92" t="s">
        <v>77</v>
      </c>
      <c r="B30" s="93">
        <v>6.891</v>
      </c>
      <c r="C30" s="94">
        <v>5.9390000000000001</v>
      </c>
      <c r="D30" s="95">
        <f>(B30/C30)-1</f>
        <v>0.16029634618622657</v>
      </c>
      <c r="E30" s="203">
        <f>(4.185*(D30+1))</f>
        <v>4.855840208789358</v>
      </c>
      <c r="F30" s="204"/>
      <c r="G30" s="89"/>
    </row>
    <row r="31" spans="1:16" x14ac:dyDescent="0.35">
      <c r="A31" s="92"/>
      <c r="B31" s="88"/>
      <c r="C31" s="88"/>
      <c r="D31" s="88"/>
      <c r="E31" s="88"/>
      <c r="F31" s="88"/>
      <c r="G31" s="89"/>
    </row>
    <row r="32" spans="1:16" x14ac:dyDescent="0.35">
      <c r="A32" s="96" t="s">
        <v>78</v>
      </c>
      <c r="B32" s="97"/>
      <c r="C32" s="97"/>
      <c r="D32" s="97"/>
      <c r="E32" s="97"/>
      <c r="F32" s="97"/>
      <c r="G32" s="98"/>
    </row>
    <row r="34" spans="1:7" x14ac:dyDescent="0.35">
      <c r="A34" s="80" t="s">
        <v>79</v>
      </c>
      <c r="B34" s="99" t="s">
        <v>80</v>
      </c>
      <c r="C34" s="99"/>
      <c r="D34" s="99"/>
      <c r="E34" s="99"/>
      <c r="F34" s="99"/>
      <c r="G34" s="100"/>
    </row>
    <row r="35" spans="1:7" x14ac:dyDescent="0.35">
      <c r="A35" s="80"/>
      <c r="B35" s="99"/>
      <c r="C35" s="99"/>
      <c r="D35" s="99"/>
      <c r="E35" s="99"/>
      <c r="F35" s="99"/>
      <c r="G35" s="100"/>
    </row>
    <row r="36" spans="1:7" x14ac:dyDescent="0.35">
      <c r="A36" s="80" t="s">
        <v>81</v>
      </c>
      <c r="B36" s="99" t="s">
        <v>82</v>
      </c>
      <c r="C36" s="99"/>
      <c r="D36" s="99"/>
      <c r="E36" s="99"/>
      <c r="F36" s="99"/>
      <c r="G36" s="100"/>
    </row>
    <row r="37" spans="1:7" x14ac:dyDescent="0.35">
      <c r="A37" s="80"/>
      <c r="B37" s="99"/>
      <c r="C37" s="99"/>
      <c r="D37" s="99"/>
      <c r="E37" s="99"/>
      <c r="F37" s="99"/>
      <c r="G37" s="100"/>
    </row>
    <row r="38" spans="1:7" x14ac:dyDescent="0.35">
      <c r="A38" s="80" t="s">
        <v>83</v>
      </c>
      <c r="B38" s="99" t="s">
        <v>84</v>
      </c>
      <c r="C38" s="99"/>
      <c r="D38" s="99"/>
      <c r="E38" s="99"/>
      <c r="F38" s="99"/>
      <c r="G38" s="100"/>
    </row>
    <row r="39" spans="1:7" x14ac:dyDescent="0.35">
      <c r="A39" s="80"/>
    </row>
  </sheetData>
  <mergeCells count="5">
    <mergeCell ref="F16:H16"/>
    <mergeCell ref="F23:H23"/>
    <mergeCell ref="A27:G27"/>
    <mergeCell ref="E29:F29"/>
    <mergeCell ref="E30:F30"/>
  </mergeCells>
  <pageMargins left="0.17" right="0.17" top="0.66" bottom="0.55000000000000004" header="0.24" footer="0.33"/>
  <pageSetup scale="72" fitToHeight="0" orientation="portrait" r:id="rId1"/>
  <headerFooter>
    <oddHeader xml:space="preserve">&amp;RKY PSC CN 2020-00378  
 Staff's Data Request Set 1 No. 5 Attachment D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view="pageLayout" zoomScaleNormal="100" workbookViewId="0">
      <selection activeCell="K1" sqref="K1"/>
    </sheetView>
  </sheetViews>
  <sheetFormatPr defaultColWidth="9.1796875" defaultRowHeight="12.5" x14ac:dyDescent="0.25"/>
  <cols>
    <col min="1" max="1" width="9.1796875" style="109" customWidth="1"/>
    <col min="2" max="2" width="10.1796875" style="103" customWidth="1"/>
    <col min="3" max="3" width="11.1796875" style="103" customWidth="1"/>
    <col min="4" max="4" width="9.26953125" style="103" customWidth="1"/>
    <col min="5" max="5" width="10.81640625" style="103" customWidth="1"/>
    <col min="6" max="6" width="13.26953125" style="103" customWidth="1"/>
    <col min="7" max="7" width="13" style="103" customWidth="1"/>
    <col min="8" max="8" width="10.1796875" style="103" customWidth="1"/>
    <col min="9" max="9" width="14.54296875" style="103" customWidth="1"/>
    <col min="10" max="13" width="10.1796875" style="103" customWidth="1"/>
    <col min="14" max="14" width="8.453125" style="103" hidden="1" customWidth="1"/>
    <col min="15" max="15" width="1.453125" style="104" customWidth="1"/>
    <col min="16" max="16" width="11" style="104" hidden="1" customWidth="1"/>
    <col min="17" max="17" width="11.453125" style="104" customWidth="1"/>
    <col min="18" max="16384" width="9.1796875" style="104"/>
  </cols>
  <sheetData>
    <row r="1" spans="1:16" ht="18" x14ac:dyDescent="0.4">
      <c r="A1" s="101" t="s">
        <v>85</v>
      </c>
      <c r="B1" s="102"/>
      <c r="C1" s="102"/>
      <c r="D1" s="102"/>
    </row>
    <row r="2" spans="1:16" ht="18" x14ac:dyDescent="0.4">
      <c r="A2" s="101"/>
      <c r="B2" s="102"/>
      <c r="C2" s="102"/>
      <c r="D2" s="102"/>
    </row>
    <row r="3" spans="1:16" ht="18" x14ac:dyDescent="0.4">
      <c r="A3" s="101" t="s">
        <v>86</v>
      </c>
      <c r="B3" s="105"/>
      <c r="C3" s="106">
        <f>'September 20 TCPS CALC'!C9</f>
        <v>44075</v>
      </c>
      <c r="E3" s="107"/>
      <c r="F3" s="107"/>
      <c r="G3" s="107"/>
      <c r="H3" s="107"/>
      <c r="I3" s="107"/>
      <c r="J3" s="107"/>
      <c r="K3" s="107"/>
      <c r="L3" s="107"/>
      <c r="M3" s="108"/>
    </row>
    <row r="5" spans="1:16" ht="13" thickBot="1" x14ac:dyDescent="0.3"/>
    <row r="6" spans="1:16" ht="13" x14ac:dyDescent="0.3">
      <c r="H6" s="206" t="s">
        <v>87</v>
      </c>
      <c r="I6" s="207"/>
      <c r="J6" s="207"/>
      <c r="K6" s="208" t="s">
        <v>88</v>
      </c>
      <c r="L6" s="209"/>
      <c r="M6" s="210"/>
      <c r="P6" s="103" t="s">
        <v>89</v>
      </c>
    </row>
    <row r="7" spans="1:16" ht="13" x14ac:dyDescent="0.3">
      <c r="A7" s="110" t="s">
        <v>90</v>
      </c>
      <c r="B7" s="211" t="s">
        <v>91</v>
      </c>
      <c r="C7" s="212"/>
      <c r="D7" s="213"/>
      <c r="E7" s="214" t="s">
        <v>92</v>
      </c>
      <c r="F7" s="215"/>
      <c r="G7" s="216"/>
      <c r="H7" s="212" t="s">
        <v>93</v>
      </c>
      <c r="I7" s="212"/>
      <c r="J7" s="212"/>
      <c r="K7" s="217" t="s">
        <v>94</v>
      </c>
      <c r="L7" s="218"/>
      <c r="M7" s="219"/>
      <c r="P7" s="103" t="s">
        <v>95</v>
      </c>
    </row>
    <row r="8" spans="1:16" ht="13" x14ac:dyDescent="0.3">
      <c r="A8" s="111" t="s">
        <v>96</v>
      </c>
      <c r="B8" s="112" t="s">
        <v>97</v>
      </c>
      <c r="C8" s="113" t="s">
        <v>98</v>
      </c>
      <c r="D8" s="114" t="s">
        <v>99</v>
      </c>
      <c r="E8" s="115" t="s">
        <v>97</v>
      </c>
      <c r="F8" s="116" t="s">
        <v>98</v>
      </c>
      <c r="G8" s="117" t="s">
        <v>99</v>
      </c>
      <c r="H8" s="113" t="s">
        <v>97</v>
      </c>
      <c r="I8" s="113" t="s">
        <v>98</v>
      </c>
      <c r="J8" s="113" t="s">
        <v>99</v>
      </c>
      <c r="K8" s="118" t="s">
        <v>97</v>
      </c>
      <c r="L8" s="119" t="s">
        <v>98</v>
      </c>
      <c r="M8" s="120" t="s">
        <v>99</v>
      </c>
      <c r="N8" s="121" t="s">
        <v>96</v>
      </c>
      <c r="P8" s="122" t="s">
        <v>100</v>
      </c>
    </row>
    <row r="9" spans="1:16" ht="13" x14ac:dyDescent="0.3">
      <c r="A9" s="123"/>
      <c r="B9" s="124"/>
      <c r="C9" s="125"/>
      <c r="D9" s="126"/>
      <c r="E9" s="127"/>
      <c r="F9" s="128"/>
      <c r="G9" s="129"/>
      <c r="H9" s="130"/>
      <c r="I9" s="130" t="s">
        <v>101</v>
      </c>
      <c r="J9" s="131"/>
      <c r="K9" s="132"/>
      <c r="L9" s="133"/>
      <c r="M9" s="134"/>
    </row>
    <row r="10" spans="1:16" ht="13" x14ac:dyDescent="0.3">
      <c r="A10" s="109">
        <f>C3</f>
        <v>44075</v>
      </c>
      <c r="B10" s="135">
        <v>1.7</v>
      </c>
      <c r="C10" s="136">
        <v>2.33</v>
      </c>
      <c r="D10" s="137">
        <v>2.5</v>
      </c>
      <c r="E10" s="138">
        <v>1.345</v>
      </c>
      <c r="F10" s="139">
        <v>1.95</v>
      </c>
      <c r="G10" s="140">
        <v>2.2400000000000002</v>
      </c>
      <c r="H10" s="135">
        <v>1.5</v>
      </c>
      <c r="I10" s="136">
        <v>1.77</v>
      </c>
      <c r="J10" s="137">
        <v>2.0699999999999998</v>
      </c>
      <c r="K10" s="141">
        <f t="shared" ref="K10:M37" si="0">AVERAGE(B10,E10,H10)</f>
        <v>1.5149999999999999</v>
      </c>
      <c r="L10" s="142">
        <f t="shared" si="0"/>
        <v>2.0166666666666671</v>
      </c>
      <c r="M10" s="143">
        <f t="shared" si="0"/>
        <v>2.27</v>
      </c>
      <c r="N10" s="109">
        <f t="shared" ref="N10:N39" si="1">A10</f>
        <v>44075</v>
      </c>
      <c r="P10" s="144">
        <f>H10-E10</f>
        <v>0.15500000000000003</v>
      </c>
    </row>
    <row r="11" spans="1:16" x14ac:dyDescent="0.25">
      <c r="A11" s="109">
        <f>A10+1</f>
        <v>44076</v>
      </c>
      <c r="B11" s="145">
        <f t="shared" ref="B11:B39" si="2">$B$10</f>
        <v>1.7</v>
      </c>
      <c r="C11" s="146">
        <f>$C$10</f>
        <v>2.33</v>
      </c>
      <c r="D11" s="147">
        <f>$D$10</f>
        <v>2.5</v>
      </c>
      <c r="E11" s="138">
        <v>1.28</v>
      </c>
      <c r="F11" s="139">
        <v>2.0550000000000002</v>
      </c>
      <c r="G11" s="140">
        <v>2.2850000000000001</v>
      </c>
      <c r="H11" s="148">
        <f t="shared" ref="H11:J16" si="3">H10</f>
        <v>1.5</v>
      </c>
      <c r="I11" s="148">
        <f t="shared" si="3"/>
        <v>1.77</v>
      </c>
      <c r="J11" s="148">
        <f t="shared" si="3"/>
        <v>2.0699999999999998</v>
      </c>
      <c r="K11" s="141">
        <f t="shared" si="0"/>
        <v>1.4933333333333334</v>
      </c>
      <c r="L11" s="142">
        <f t="shared" si="0"/>
        <v>2.0516666666666663</v>
      </c>
      <c r="M11" s="143">
        <f t="shared" si="0"/>
        <v>2.2850000000000001</v>
      </c>
      <c r="N11" s="149">
        <f t="shared" si="1"/>
        <v>44076</v>
      </c>
      <c r="P11" s="144">
        <f t="shared" ref="P11:P39" si="4">H11-E11</f>
        <v>0.21999999999999997</v>
      </c>
    </row>
    <row r="12" spans="1:16" x14ac:dyDescent="0.25">
      <c r="A12" s="109">
        <f t="shared" ref="A12:A39" si="5">A11+1</f>
        <v>44077</v>
      </c>
      <c r="B12" s="145">
        <f t="shared" si="2"/>
        <v>1.7</v>
      </c>
      <c r="C12" s="146">
        <f t="shared" ref="C12:C39" si="6">$C$10</f>
        <v>2.33</v>
      </c>
      <c r="D12" s="147">
        <f t="shared" ref="D12:D39" si="7">$D$10</f>
        <v>2.5</v>
      </c>
      <c r="E12" s="138">
        <v>1.65</v>
      </c>
      <c r="F12" s="139">
        <v>2.1</v>
      </c>
      <c r="G12" s="140">
        <v>2.33</v>
      </c>
      <c r="H12" s="148">
        <f t="shared" si="3"/>
        <v>1.5</v>
      </c>
      <c r="I12" s="148">
        <f t="shared" si="3"/>
        <v>1.77</v>
      </c>
      <c r="J12" s="148">
        <f t="shared" si="3"/>
        <v>2.0699999999999998</v>
      </c>
      <c r="K12" s="141">
        <f t="shared" si="0"/>
        <v>1.6166666666666665</v>
      </c>
      <c r="L12" s="142">
        <f t="shared" si="0"/>
        <v>2.0666666666666664</v>
      </c>
      <c r="M12" s="143">
        <f t="shared" si="0"/>
        <v>2.3000000000000003</v>
      </c>
      <c r="N12" s="109">
        <f t="shared" si="1"/>
        <v>44077</v>
      </c>
      <c r="P12" s="144">
        <f t="shared" si="4"/>
        <v>-0.14999999999999991</v>
      </c>
    </row>
    <row r="13" spans="1:16" x14ac:dyDescent="0.25">
      <c r="A13" s="109">
        <f t="shared" si="5"/>
        <v>44078</v>
      </c>
      <c r="B13" s="145">
        <f t="shared" si="2"/>
        <v>1.7</v>
      </c>
      <c r="C13" s="146">
        <f t="shared" si="6"/>
        <v>2.33</v>
      </c>
      <c r="D13" s="147">
        <f t="shared" si="7"/>
        <v>2.5</v>
      </c>
      <c r="E13" s="138">
        <v>1.7350000000000001</v>
      </c>
      <c r="F13" s="139">
        <v>2.09</v>
      </c>
      <c r="G13" s="140">
        <v>2.37</v>
      </c>
      <c r="H13" s="148">
        <f t="shared" si="3"/>
        <v>1.5</v>
      </c>
      <c r="I13" s="148">
        <f t="shared" si="3"/>
        <v>1.77</v>
      </c>
      <c r="J13" s="148">
        <f t="shared" si="3"/>
        <v>2.0699999999999998</v>
      </c>
      <c r="K13" s="141">
        <f t="shared" si="0"/>
        <v>1.6450000000000002</v>
      </c>
      <c r="L13" s="142">
        <f t="shared" si="0"/>
        <v>2.063333333333333</v>
      </c>
      <c r="M13" s="143">
        <f t="shared" si="0"/>
        <v>2.313333333333333</v>
      </c>
      <c r="N13" s="109">
        <f t="shared" si="1"/>
        <v>44078</v>
      </c>
      <c r="P13" s="144">
        <f t="shared" si="4"/>
        <v>-0.2350000000000001</v>
      </c>
    </row>
    <row r="14" spans="1:16" s="155" customFormat="1" x14ac:dyDescent="0.25">
      <c r="A14" s="150">
        <f t="shared" si="5"/>
        <v>44079</v>
      </c>
      <c r="B14" s="145">
        <f t="shared" si="2"/>
        <v>1.7</v>
      </c>
      <c r="C14" s="146">
        <f t="shared" si="6"/>
        <v>2.33</v>
      </c>
      <c r="D14" s="147">
        <f t="shared" si="7"/>
        <v>2.5</v>
      </c>
      <c r="E14" s="138">
        <v>1.5</v>
      </c>
      <c r="F14" s="139">
        <v>1.665</v>
      </c>
      <c r="G14" s="140">
        <v>1.98</v>
      </c>
      <c r="H14" s="148">
        <f t="shared" si="3"/>
        <v>1.5</v>
      </c>
      <c r="I14" s="148">
        <f t="shared" si="3"/>
        <v>1.77</v>
      </c>
      <c r="J14" s="148">
        <f t="shared" si="3"/>
        <v>2.0699999999999998</v>
      </c>
      <c r="K14" s="151">
        <f t="shared" si="0"/>
        <v>1.5666666666666667</v>
      </c>
      <c r="L14" s="152">
        <f t="shared" si="0"/>
        <v>1.9216666666666669</v>
      </c>
      <c r="M14" s="153">
        <f t="shared" si="0"/>
        <v>2.1833333333333336</v>
      </c>
      <c r="N14" s="154">
        <f t="shared" si="1"/>
        <v>44079</v>
      </c>
      <c r="P14" s="156">
        <f t="shared" si="4"/>
        <v>0</v>
      </c>
    </row>
    <row r="15" spans="1:16" s="155" customFormat="1" x14ac:dyDescent="0.25">
      <c r="A15" s="150">
        <f t="shared" si="5"/>
        <v>44080</v>
      </c>
      <c r="B15" s="145">
        <f t="shared" si="2"/>
        <v>1.7</v>
      </c>
      <c r="C15" s="146">
        <f t="shared" si="6"/>
        <v>2.33</v>
      </c>
      <c r="D15" s="147">
        <f t="shared" si="7"/>
        <v>2.5</v>
      </c>
      <c r="E15" s="138">
        <v>1.5</v>
      </c>
      <c r="F15" s="139">
        <v>1.665</v>
      </c>
      <c r="G15" s="140">
        <v>1.98</v>
      </c>
      <c r="H15" s="148">
        <f t="shared" si="3"/>
        <v>1.5</v>
      </c>
      <c r="I15" s="148">
        <f t="shared" si="3"/>
        <v>1.77</v>
      </c>
      <c r="J15" s="148">
        <f t="shared" si="3"/>
        <v>2.0699999999999998</v>
      </c>
      <c r="K15" s="151">
        <f t="shared" si="0"/>
        <v>1.5666666666666667</v>
      </c>
      <c r="L15" s="152">
        <f t="shared" si="0"/>
        <v>1.9216666666666669</v>
      </c>
      <c r="M15" s="153">
        <f t="shared" si="0"/>
        <v>2.1833333333333336</v>
      </c>
      <c r="N15" s="154">
        <f t="shared" si="1"/>
        <v>44080</v>
      </c>
      <c r="P15" s="144">
        <f t="shared" si="4"/>
        <v>0</v>
      </c>
    </row>
    <row r="16" spans="1:16" s="155" customFormat="1" ht="13" x14ac:dyDescent="0.3">
      <c r="A16" s="150">
        <f t="shared" si="5"/>
        <v>44081</v>
      </c>
      <c r="B16" s="145">
        <f t="shared" si="2"/>
        <v>1.7</v>
      </c>
      <c r="C16" s="146">
        <f t="shared" si="6"/>
        <v>2.33</v>
      </c>
      <c r="D16" s="147">
        <f t="shared" si="7"/>
        <v>2.5</v>
      </c>
      <c r="E16" s="138">
        <v>1.5</v>
      </c>
      <c r="F16" s="139">
        <v>1.665</v>
      </c>
      <c r="G16" s="140">
        <v>1.98</v>
      </c>
      <c r="H16" s="148">
        <f t="shared" si="3"/>
        <v>1.5</v>
      </c>
      <c r="I16" s="148">
        <f t="shared" si="3"/>
        <v>1.77</v>
      </c>
      <c r="J16" s="148">
        <f t="shared" si="3"/>
        <v>2.0699999999999998</v>
      </c>
      <c r="K16" s="151">
        <f t="shared" si="0"/>
        <v>1.5666666666666667</v>
      </c>
      <c r="L16" s="152">
        <f t="shared" si="0"/>
        <v>1.9216666666666669</v>
      </c>
      <c r="M16" s="153">
        <f t="shared" si="0"/>
        <v>2.1833333333333336</v>
      </c>
      <c r="N16" s="157">
        <f t="shared" si="1"/>
        <v>44081</v>
      </c>
      <c r="P16" s="144">
        <f t="shared" si="4"/>
        <v>0</v>
      </c>
    </row>
    <row r="17" spans="1:16" s="155" customFormat="1" ht="13" x14ac:dyDescent="0.3">
      <c r="A17" s="150">
        <f t="shared" si="5"/>
        <v>44082</v>
      </c>
      <c r="B17" s="145">
        <f t="shared" si="2"/>
        <v>1.7</v>
      </c>
      <c r="C17" s="146">
        <f t="shared" si="6"/>
        <v>2.33</v>
      </c>
      <c r="D17" s="147">
        <f t="shared" si="7"/>
        <v>2.5</v>
      </c>
      <c r="E17" s="138">
        <v>1.5</v>
      </c>
      <c r="F17" s="139">
        <v>1.665</v>
      </c>
      <c r="G17" s="140">
        <v>1.98</v>
      </c>
      <c r="H17" s="158">
        <v>1.38</v>
      </c>
      <c r="I17" s="158">
        <v>1.76</v>
      </c>
      <c r="J17" s="158">
        <v>2.1</v>
      </c>
      <c r="K17" s="151">
        <f t="shared" si="0"/>
        <v>1.5266666666666666</v>
      </c>
      <c r="L17" s="152">
        <f t="shared" si="0"/>
        <v>1.9183333333333332</v>
      </c>
      <c r="M17" s="153">
        <f t="shared" si="0"/>
        <v>2.1933333333333334</v>
      </c>
      <c r="N17" s="154">
        <f t="shared" si="1"/>
        <v>44082</v>
      </c>
      <c r="P17" s="144">
        <f t="shared" si="4"/>
        <v>-0.12000000000000011</v>
      </c>
    </row>
    <row r="18" spans="1:16" s="155" customFormat="1" x14ac:dyDescent="0.25">
      <c r="A18" s="150">
        <f t="shared" si="5"/>
        <v>44083</v>
      </c>
      <c r="B18" s="145">
        <f t="shared" si="2"/>
        <v>1.7</v>
      </c>
      <c r="C18" s="146">
        <f t="shared" si="6"/>
        <v>2.33</v>
      </c>
      <c r="D18" s="147">
        <f t="shared" si="7"/>
        <v>2.5</v>
      </c>
      <c r="E18" s="138">
        <v>1.71</v>
      </c>
      <c r="F18" s="139">
        <v>1.98</v>
      </c>
      <c r="G18" s="140">
        <v>2.2200000000000002</v>
      </c>
      <c r="H18" s="148">
        <f t="shared" ref="H18:J23" si="8">H17</f>
        <v>1.38</v>
      </c>
      <c r="I18" s="148">
        <f t="shared" si="8"/>
        <v>1.76</v>
      </c>
      <c r="J18" s="148">
        <f t="shared" si="8"/>
        <v>2.1</v>
      </c>
      <c r="K18" s="151">
        <f t="shared" si="0"/>
        <v>1.5966666666666667</v>
      </c>
      <c r="L18" s="152">
        <f t="shared" si="0"/>
        <v>2.0233333333333334</v>
      </c>
      <c r="M18" s="153">
        <f t="shared" si="0"/>
        <v>2.2733333333333334</v>
      </c>
      <c r="N18" s="154">
        <f t="shared" si="1"/>
        <v>44083</v>
      </c>
      <c r="P18" s="144">
        <f t="shared" si="4"/>
        <v>-0.33000000000000007</v>
      </c>
    </row>
    <row r="19" spans="1:16" s="155" customFormat="1" ht="12" customHeight="1" x14ac:dyDescent="0.25">
      <c r="A19" s="150">
        <f t="shared" si="5"/>
        <v>44084</v>
      </c>
      <c r="B19" s="145">
        <f t="shared" si="2"/>
        <v>1.7</v>
      </c>
      <c r="C19" s="146">
        <f t="shared" si="6"/>
        <v>2.33</v>
      </c>
      <c r="D19" s="147">
        <f t="shared" si="7"/>
        <v>2.5</v>
      </c>
      <c r="E19" s="138">
        <v>1.74</v>
      </c>
      <c r="F19" s="139">
        <v>1.905</v>
      </c>
      <c r="G19" s="140">
        <v>2.1749999999999998</v>
      </c>
      <c r="H19" s="148">
        <f t="shared" si="8"/>
        <v>1.38</v>
      </c>
      <c r="I19" s="148">
        <f t="shared" si="8"/>
        <v>1.76</v>
      </c>
      <c r="J19" s="148">
        <f t="shared" si="8"/>
        <v>2.1</v>
      </c>
      <c r="K19" s="151">
        <f t="shared" si="0"/>
        <v>1.6066666666666667</v>
      </c>
      <c r="L19" s="152">
        <f t="shared" si="0"/>
        <v>1.9983333333333333</v>
      </c>
      <c r="M19" s="153">
        <f t="shared" si="0"/>
        <v>2.2583333333333333</v>
      </c>
      <c r="N19" s="154">
        <f t="shared" si="1"/>
        <v>44084</v>
      </c>
      <c r="P19" s="144">
        <f t="shared" si="4"/>
        <v>-0.3600000000000001</v>
      </c>
    </row>
    <row r="20" spans="1:16" s="155" customFormat="1" x14ac:dyDescent="0.25">
      <c r="A20" s="150">
        <f t="shared" si="5"/>
        <v>44085</v>
      </c>
      <c r="B20" s="145">
        <f t="shared" si="2"/>
        <v>1.7</v>
      </c>
      <c r="C20" s="146">
        <f t="shared" si="6"/>
        <v>2.33</v>
      </c>
      <c r="D20" s="147">
        <f t="shared" si="7"/>
        <v>2.5</v>
      </c>
      <c r="E20" s="138">
        <v>1.73</v>
      </c>
      <c r="F20" s="139">
        <v>1.835</v>
      </c>
      <c r="G20" s="140">
        <v>2.0750000000000002</v>
      </c>
      <c r="H20" s="148">
        <f t="shared" si="8"/>
        <v>1.38</v>
      </c>
      <c r="I20" s="148">
        <f t="shared" si="8"/>
        <v>1.76</v>
      </c>
      <c r="J20" s="148">
        <f t="shared" si="8"/>
        <v>2.1</v>
      </c>
      <c r="K20" s="151">
        <f t="shared" si="0"/>
        <v>1.6033333333333333</v>
      </c>
      <c r="L20" s="152">
        <f t="shared" si="0"/>
        <v>1.9749999999999999</v>
      </c>
      <c r="M20" s="153">
        <f t="shared" si="0"/>
        <v>2.2250000000000001</v>
      </c>
      <c r="N20" s="154">
        <f t="shared" si="1"/>
        <v>44085</v>
      </c>
      <c r="P20" s="156">
        <f>H20-E20</f>
        <v>-0.35000000000000009</v>
      </c>
    </row>
    <row r="21" spans="1:16" s="155" customFormat="1" x14ac:dyDescent="0.25">
      <c r="A21" s="150">
        <f t="shared" si="5"/>
        <v>44086</v>
      </c>
      <c r="B21" s="145">
        <f t="shared" si="2"/>
        <v>1.7</v>
      </c>
      <c r="C21" s="146">
        <f t="shared" si="6"/>
        <v>2.33</v>
      </c>
      <c r="D21" s="147">
        <f t="shared" si="7"/>
        <v>2.5</v>
      </c>
      <c r="E21" s="138">
        <v>1.2250000000000001</v>
      </c>
      <c r="F21" s="139">
        <v>1.6850000000000001</v>
      </c>
      <c r="G21" s="140">
        <v>1.845</v>
      </c>
      <c r="H21" s="148">
        <f t="shared" si="8"/>
        <v>1.38</v>
      </c>
      <c r="I21" s="148">
        <f t="shared" si="8"/>
        <v>1.76</v>
      </c>
      <c r="J21" s="148">
        <f t="shared" si="8"/>
        <v>2.1</v>
      </c>
      <c r="K21" s="151">
        <f t="shared" si="0"/>
        <v>1.4349999999999998</v>
      </c>
      <c r="L21" s="152">
        <f t="shared" si="0"/>
        <v>1.925</v>
      </c>
      <c r="M21" s="153">
        <f t="shared" si="0"/>
        <v>2.1483333333333334</v>
      </c>
      <c r="N21" s="154">
        <f t="shared" si="1"/>
        <v>44086</v>
      </c>
      <c r="P21" s="156">
        <f t="shared" si="4"/>
        <v>0.1549999999999998</v>
      </c>
    </row>
    <row r="22" spans="1:16" s="155" customFormat="1" x14ac:dyDescent="0.25">
      <c r="A22" s="150">
        <f t="shared" si="5"/>
        <v>44087</v>
      </c>
      <c r="B22" s="145">
        <f t="shared" si="2"/>
        <v>1.7</v>
      </c>
      <c r="C22" s="146">
        <f t="shared" si="6"/>
        <v>2.33</v>
      </c>
      <c r="D22" s="147">
        <f t="shared" si="7"/>
        <v>2.5</v>
      </c>
      <c r="E22" s="138">
        <v>1.2250000000000001</v>
      </c>
      <c r="F22" s="139">
        <v>1.6850000000000001</v>
      </c>
      <c r="G22" s="140">
        <v>1.845</v>
      </c>
      <c r="H22" s="148">
        <f t="shared" si="8"/>
        <v>1.38</v>
      </c>
      <c r="I22" s="148">
        <f t="shared" si="8"/>
        <v>1.76</v>
      </c>
      <c r="J22" s="148">
        <f t="shared" si="8"/>
        <v>2.1</v>
      </c>
      <c r="K22" s="151">
        <f t="shared" si="0"/>
        <v>1.4349999999999998</v>
      </c>
      <c r="L22" s="152">
        <f t="shared" si="0"/>
        <v>1.925</v>
      </c>
      <c r="M22" s="153">
        <f t="shared" si="0"/>
        <v>2.1483333333333334</v>
      </c>
      <c r="N22" s="154">
        <f t="shared" si="1"/>
        <v>44087</v>
      </c>
      <c r="P22" s="144">
        <f t="shared" si="4"/>
        <v>0.1549999999999998</v>
      </c>
    </row>
    <row r="23" spans="1:16" s="155" customFormat="1" ht="13" x14ac:dyDescent="0.3">
      <c r="A23" s="150">
        <f t="shared" si="5"/>
        <v>44088</v>
      </c>
      <c r="B23" s="145">
        <f t="shared" si="2"/>
        <v>1.7</v>
      </c>
      <c r="C23" s="146">
        <f t="shared" si="6"/>
        <v>2.33</v>
      </c>
      <c r="D23" s="147">
        <f t="shared" si="7"/>
        <v>2.5</v>
      </c>
      <c r="E23" s="138">
        <v>1.2250000000000001</v>
      </c>
      <c r="F23" s="139">
        <v>1.6850000000000001</v>
      </c>
      <c r="G23" s="140">
        <v>1.845</v>
      </c>
      <c r="H23" s="148">
        <f t="shared" si="8"/>
        <v>1.38</v>
      </c>
      <c r="I23" s="148">
        <f t="shared" si="8"/>
        <v>1.76</v>
      </c>
      <c r="J23" s="148">
        <f t="shared" si="8"/>
        <v>2.1</v>
      </c>
      <c r="K23" s="151">
        <f t="shared" si="0"/>
        <v>1.4349999999999998</v>
      </c>
      <c r="L23" s="152">
        <f t="shared" si="0"/>
        <v>1.925</v>
      </c>
      <c r="M23" s="153">
        <f t="shared" si="0"/>
        <v>2.1483333333333334</v>
      </c>
      <c r="N23" s="157">
        <f t="shared" si="1"/>
        <v>44088</v>
      </c>
      <c r="P23" s="144">
        <f t="shared" si="4"/>
        <v>0.1549999999999998</v>
      </c>
    </row>
    <row r="24" spans="1:16" s="155" customFormat="1" ht="13" x14ac:dyDescent="0.3">
      <c r="A24" s="150">
        <f t="shared" si="5"/>
        <v>44089</v>
      </c>
      <c r="B24" s="145">
        <f t="shared" si="2"/>
        <v>1.7</v>
      </c>
      <c r="C24" s="146">
        <f t="shared" si="6"/>
        <v>2.33</v>
      </c>
      <c r="D24" s="147">
        <f t="shared" si="7"/>
        <v>2.5</v>
      </c>
      <c r="E24" s="138">
        <v>1.7</v>
      </c>
      <c r="F24" s="139">
        <v>1.83</v>
      </c>
      <c r="G24" s="140">
        <v>2.105</v>
      </c>
      <c r="H24" s="158">
        <v>1.56</v>
      </c>
      <c r="I24" s="158">
        <v>1.55</v>
      </c>
      <c r="J24" s="158">
        <v>1.97</v>
      </c>
      <c r="K24" s="151">
        <f>AVERAGE(B24,E24,H24)</f>
        <v>1.6533333333333333</v>
      </c>
      <c r="L24" s="152">
        <f t="shared" si="0"/>
        <v>1.9033333333333333</v>
      </c>
      <c r="M24" s="153">
        <f t="shared" si="0"/>
        <v>2.1916666666666669</v>
      </c>
      <c r="N24" s="154">
        <f t="shared" si="1"/>
        <v>44089</v>
      </c>
      <c r="P24" s="144">
        <f t="shared" si="4"/>
        <v>-0.1399999999999999</v>
      </c>
    </row>
    <row r="25" spans="1:16" s="155" customFormat="1" x14ac:dyDescent="0.25">
      <c r="A25" s="150">
        <f t="shared" si="5"/>
        <v>44090</v>
      </c>
      <c r="B25" s="145">
        <f t="shared" si="2"/>
        <v>1.7</v>
      </c>
      <c r="C25" s="146">
        <f t="shared" si="6"/>
        <v>2.33</v>
      </c>
      <c r="D25" s="147">
        <f t="shared" si="7"/>
        <v>2.5</v>
      </c>
      <c r="E25" s="138">
        <v>1.72</v>
      </c>
      <c r="F25" s="139">
        <v>1.7949999999999999</v>
      </c>
      <c r="G25" s="140">
        <v>2.08</v>
      </c>
      <c r="H25" s="148">
        <f t="shared" ref="H25:J30" si="9">H24</f>
        <v>1.56</v>
      </c>
      <c r="I25" s="148">
        <f t="shared" si="9"/>
        <v>1.55</v>
      </c>
      <c r="J25" s="148">
        <f t="shared" si="9"/>
        <v>1.97</v>
      </c>
      <c r="K25" s="151">
        <f t="shared" si="0"/>
        <v>1.6600000000000001</v>
      </c>
      <c r="L25" s="152">
        <f t="shared" si="0"/>
        <v>1.8916666666666666</v>
      </c>
      <c r="M25" s="153">
        <f t="shared" si="0"/>
        <v>2.1833333333333331</v>
      </c>
      <c r="N25" s="154">
        <f t="shared" si="1"/>
        <v>44090</v>
      </c>
      <c r="P25" s="156">
        <f t="shared" si="4"/>
        <v>-0.15999999999999992</v>
      </c>
    </row>
    <row r="26" spans="1:16" s="155" customFormat="1" x14ac:dyDescent="0.25">
      <c r="A26" s="150">
        <f t="shared" si="5"/>
        <v>44091</v>
      </c>
      <c r="B26" s="145">
        <f t="shared" si="2"/>
        <v>1.7</v>
      </c>
      <c r="C26" s="146">
        <f t="shared" si="6"/>
        <v>2.33</v>
      </c>
      <c r="D26" s="147">
        <f t="shared" si="7"/>
        <v>2.5</v>
      </c>
      <c r="E26" s="138">
        <v>1.6950000000000001</v>
      </c>
      <c r="F26" s="139">
        <v>1.76</v>
      </c>
      <c r="G26" s="140">
        <v>1.885</v>
      </c>
      <c r="H26" s="148">
        <f t="shared" si="9"/>
        <v>1.56</v>
      </c>
      <c r="I26" s="148">
        <f t="shared" si="9"/>
        <v>1.55</v>
      </c>
      <c r="J26" s="148">
        <f t="shared" si="9"/>
        <v>1.97</v>
      </c>
      <c r="K26" s="151">
        <f t="shared" si="0"/>
        <v>1.6516666666666666</v>
      </c>
      <c r="L26" s="152">
        <f t="shared" si="0"/>
        <v>1.88</v>
      </c>
      <c r="M26" s="153">
        <f t="shared" si="0"/>
        <v>2.1183333333333332</v>
      </c>
      <c r="N26" s="154">
        <f t="shared" si="1"/>
        <v>44091</v>
      </c>
      <c r="P26" s="144">
        <f t="shared" si="4"/>
        <v>-0.13500000000000001</v>
      </c>
    </row>
    <row r="27" spans="1:16" s="155" customFormat="1" x14ac:dyDescent="0.25">
      <c r="A27" s="150">
        <f t="shared" si="5"/>
        <v>44092</v>
      </c>
      <c r="B27" s="145">
        <f t="shared" si="2"/>
        <v>1.7</v>
      </c>
      <c r="C27" s="146">
        <f t="shared" si="6"/>
        <v>2.33</v>
      </c>
      <c r="D27" s="147">
        <f t="shared" si="7"/>
        <v>2.5</v>
      </c>
      <c r="E27" s="138">
        <v>1.4650000000000001</v>
      </c>
      <c r="F27" s="139">
        <v>1.5249999999999999</v>
      </c>
      <c r="G27" s="140">
        <v>1.61</v>
      </c>
      <c r="H27" s="148">
        <f t="shared" si="9"/>
        <v>1.56</v>
      </c>
      <c r="I27" s="148">
        <f t="shared" si="9"/>
        <v>1.55</v>
      </c>
      <c r="J27" s="148">
        <f t="shared" si="9"/>
        <v>1.97</v>
      </c>
      <c r="K27" s="151">
        <f t="shared" si="0"/>
        <v>1.575</v>
      </c>
      <c r="L27" s="152">
        <f t="shared" si="0"/>
        <v>1.8016666666666667</v>
      </c>
      <c r="M27" s="153">
        <f t="shared" si="0"/>
        <v>2.0266666666666668</v>
      </c>
      <c r="N27" s="154">
        <f t="shared" si="1"/>
        <v>44092</v>
      </c>
      <c r="P27" s="156">
        <f t="shared" si="4"/>
        <v>9.4999999999999973E-2</v>
      </c>
    </row>
    <row r="28" spans="1:16" s="155" customFormat="1" x14ac:dyDescent="0.25">
      <c r="A28" s="150">
        <f t="shared" si="5"/>
        <v>44093</v>
      </c>
      <c r="B28" s="145">
        <f t="shared" si="2"/>
        <v>1.7</v>
      </c>
      <c r="C28" s="146">
        <f t="shared" si="6"/>
        <v>2.33</v>
      </c>
      <c r="D28" s="147">
        <f t="shared" si="7"/>
        <v>2.5</v>
      </c>
      <c r="E28" s="138">
        <v>1.075</v>
      </c>
      <c r="F28" s="139">
        <v>1.335</v>
      </c>
      <c r="G28" s="140">
        <v>1.5249999999999999</v>
      </c>
      <c r="H28" s="148">
        <f t="shared" si="9"/>
        <v>1.56</v>
      </c>
      <c r="I28" s="148">
        <f t="shared" si="9"/>
        <v>1.55</v>
      </c>
      <c r="J28" s="148">
        <f t="shared" si="9"/>
        <v>1.97</v>
      </c>
      <c r="K28" s="151">
        <f t="shared" si="0"/>
        <v>1.4450000000000001</v>
      </c>
      <c r="L28" s="152">
        <f t="shared" si="0"/>
        <v>1.7383333333333333</v>
      </c>
      <c r="M28" s="153">
        <f t="shared" si="0"/>
        <v>1.9983333333333333</v>
      </c>
      <c r="N28" s="154">
        <f t="shared" si="1"/>
        <v>44093</v>
      </c>
      <c r="P28" s="156">
        <f t="shared" si="4"/>
        <v>0.4850000000000001</v>
      </c>
    </row>
    <row r="29" spans="1:16" s="155" customFormat="1" x14ac:dyDescent="0.25">
      <c r="A29" s="150">
        <f t="shared" si="5"/>
        <v>44094</v>
      </c>
      <c r="B29" s="145">
        <f t="shared" si="2"/>
        <v>1.7</v>
      </c>
      <c r="C29" s="146">
        <f t="shared" si="6"/>
        <v>2.33</v>
      </c>
      <c r="D29" s="147">
        <f t="shared" si="7"/>
        <v>2.5</v>
      </c>
      <c r="E29" s="138">
        <v>1.075</v>
      </c>
      <c r="F29" s="139">
        <v>1.335</v>
      </c>
      <c r="G29" s="140">
        <v>1.5249999999999999</v>
      </c>
      <c r="H29" s="148">
        <f t="shared" si="9"/>
        <v>1.56</v>
      </c>
      <c r="I29" s="148">
        <f t="shared" si="9"/>
        <v>1.55</v>
      </c>
      <c r="J29" s="148">
        <f t="shared" si="9"/>
        <v>1.97</v>
      </c>
      <c r="K29" s="151">
        <f t="shared" si="0"/>
        <v>1.4450000000000001</v>
      </c>
      <c r="L29" s="152">
        <f t="shared" si="0"/>
        <v>1.7383333333333333</v>
      </c>
      <c r="M29" s="153">
        <f t="shared" si="0"/>
        <v>1.9983333333333333</v>
      </c>
      <c r="N29" s="154">
        <f t="shared" si="1"/>
        <v>44094</v>
      </c>
      <c r="P29" s="144">
        <f t="shared" si="4"/>
        <v>0.4850000000000001</v>
      </c>
    </row>
    <row r="30" spans="1:16" s="155" customFormat="1" ht="13" x14ac:dyDescent="0.3">
      <c r="A30" s="150">
        <f t="shared" si="5"/>
        <v>44095</v>
      </c>
      <c r="B30" s="145">
        <f t="shared" si="2"/>
        <v>1.7</v>
      </c>
      <c r="C30" s="146">
        <f t="shared" si="6"/>
        <v>2.33</v>
      </c>
      <c r="D30" s="147">
        <f t="shared" si="7"/>
        <v>2.5</v>
      </c>
      <c r="E30" s="138">
        <v>1.075</v>
      </c>
      <c r="F30" s="139">
        <v>1.335</v>
      </c>
      <c r="G30" s="140">
        <v>1.5249999999999999</v>
      </c>
      <c r="H30" s="148">
        <f t="shared" si="9"/>
        <v>1.56</v>
      </c>
      <c r="I30" s="148">
        <f t="shared" si="9"/>
        <v>1.55</v>
      </c>
      <c r="J30" s="148">
        <f t="shared" si="9"/>
        <v>1.97</v>
      </c>
      <c r="K30" s="151">
        <f t="shared" si="0"/>
        <v>1.4450000000000001</v>
      </c>
      <c r="L30" s="152">
        <f t="shared" si="0"/>
        <v>1.7383333333333333</v>
      </c>
      <c r="M30" s="153">
        <f t="shared" si="0"/>
        <v>1.9983333333333333</v>
      </c>
      <c r="N30" s="157">
        <f t="shared" si="1"/>
        <v>44095</v>
      </c>
      <c r="P30" s="144">
        <f t="shared" si="4"/>
        <v>0.4850000000000001</v>
      </c>
    </row>
    <row r="31" spans="1:16" s="155" customFormat="1" ht="13" x14ac:dyDescent="0.3">
      <c r="A31" s="150">
        <f t="shared" si="5"/>
        <v>44096</v>
      </c>
      <c r="B31" s="145">
        <f t="shared" si="2"/>
        <v>1.7</v>
      </c>
      <c r="C31" s="146">
        <f t="shared" si="6"/>
        <v>2.33</v>
      </c>
      <c r="D31" s="147">
        <f t="shared" si="7"/>
        <v>2.5</v>
      </c>
      <c r="E31" s="138">
        <v>0.97</v>
      </c>
      <c r="F31" s="139">
        <v>1.2</v>
      </c>
      <c r="G31" s="140">
        <v>1.2849999999999999</v>
      </c>
      <c r="H31" s="158">
        <v>0.96</v>
      </c>
      <c r="I31" s="158">
        <v>1.41</v>
      </c>
      <c r="J31" s="158">
        <v>1.63</v>
      </c>
      <c r="K31" s="151">
        <f t="shared" si="0"/>
        <v>1.21</v>
      </c>
      <c r="L31" s="152">
        <f t="shared" si="0"/>
        <v>1.6466666666666667</v>
      </c>
      <c r="M31" s="153">
        <f t="shared" si="0"/>
        <v>1.8049999999999999</v>
      </c>
      <c r="N31" s="154">
        <f t="shared" si="1"/>
        <v>44096</v>
      </c>
      <c r="P31" s="144">
        <f t="shared" si="4"/>
        <v>-1.0000000000000009E-2</v>
      </c>
    </row>
    <row r="32" spans="1:16" s="155" customFormat="1" x14ac:dyDescent="0.25">
      <c r="A32" s="150">
        <f t="shared" si="5"/>
        <v>44097</v>
      </c>
      <c r="B32" s="145">
        <f t="shared" si="2"/>
        <v>1.7</v>
      </c>
      <c r="C32" s="146">
        <f t="shared" si="6"/>
        <v>2.33</v>
      </c>
      <c r="D32" s="147">
        <f t="shared" si="7"/>
        <v>2.5</v>
      </c>
      <c r="E32" s="138">
        <v>1.1299999999999999</v>
      </c>
      <c r="F32" s="139">
        <v>1.3149999999999999</v>
      </c>
      <c r="G32" s="140">
        <v>1.43</v>
      </c>
      <c r="H32" s="148">
        <f t="shared" ref="H32:J37" si="10">H31</f>
        <v>0.96</v>
      </c>
      <c r="I32" s="148">
        <f t="shared" si="10"/>
        <v>1.41</v>
      </c>
      <c r="J32" s="148">
        <f t="shared" si="10"/>
        <v>1.63</v>
      </c>
      <c r="K32" s="151">
        <f t="shared" si="0"/>
        <v>1.2633333333333334</v>
      </c>
      <c r="L32" s="152">
        <f t="shared" si="0"/>
        <v>1.6849999999999998</v>
      </c>
      <c r="M32" s="153">
        <f t="shared" si="0"/>
        <v>1.8533333333333333</v>
      </c>
      <c r="N32" s="154">
        <f t="shared" si="1"/>
        <v>44097</v>
      </c>
      <c r="P32" s="144">
        <f t="shared" si="4"/>
        <v>-0.16999999999999993</v>
      </c>
    </row>
    <row r="33" spans="1:16" s="155" customFormat="1" x14ac:dyDescent="0.25">
      <c r="A33" s="150">
        <f t="shared" si="5"/>
        <v>44098</v>
      </c>
      <c r="B33" s="145">
        <f t="shared" si="2"/>
        <v>1.7</v>
      </c>
      <c r="C33" s="146">
        <f t="shared" si="6"/>
        <v>2.33</v>
      </c>
      <c r="D33" s="147">
        <f t="shared" si="7"/>
        <v>2.5</v>
      </c>
      <c r="E33" s="138">
        <v>1.32</v>
      </c>
      <c r="F33" s="139">
        <v>1.69</v>
      </c>
      <c r="G33" s="140">
        <v>1.7350000000000001</v>
      </c>
      <c r="H33" s="148">
        <f t="shared" si="10"/>
        <v>0.96</v>
      </c>
      <c r="I33" s="148">
        <f t="shared" si="10"/>
        <v>1.41</v>
      </c>
      <c r="J33" s="148">
        <f t="shared" si="10"/>
        <v>1.63</v>
      </c>
      <c r="K33" s="151">
        <f t="shared" si="0"/>
        <v>1.3266666666666667</v>
      </c>
      <c r="L33" s="152">
        <f t="shared" si="0"/>
        <v>1.8099999999999998</v>
      </c>
      <c r="M33" s="153">
        <f t="shared" si="0"/>
        <v>1.9550000000000001</v>
      </c>
      <c r="N33" s="154">
        <f t="shared" si="1"/>
        <v>44098</v>
      </c>
      <c r="P33" s="144">
        <f t="shared" si="4"/>
        <v>-0.3600000000000001</v>
      </c>
    </row>
    <row r="34" spans="1:16" s="155" customFormat="1" x14ac:dyDescent="0.25">
      <c r="A34" s="150">
        <f t="shared" si="5"/>
        <v>44099</v>
      </c>
      <c r="B34" s="145">
        <f t="shared" si="2"/>
        <v>1.7</v>
      </c>
      <c r="C34" s="146">
        <f t="shared" si="6"/>
        <v>2.33</v>
      </c>
      <c r="D34" s="147">
        <f t="shared" si="7"/>
        <v>2.5</v>
      </c>
      <c r="E34" s="138">
        <v>1.345</v>
      </c>
      <c r="F34" s="139">
        <v>1.7849999999999999</v>
      </c>
      <c r="G34" s="140">
        <v>1.89</v>
      </c>
      <c r="H34" s="148">
        <f t="shared" si="10"/>
        <v>0.96</v>
      </c>
      <c r="I34" s="148">
        <f t="shared" si="10"/>
        <v>1.41</v>
      </c>
      <c r="J34" s="148">
        <f t="shared" si="10"/>
        <v>1.63</v>
      </c>
      <c r="K34" s="151">
        <f t="shared" si="0"/>
        <v>1.335</v>
      </c>
      <c r="L34" s="152">
        <f t="shared" si="0"/>
        <v>1.8416666666666668</v>
      </c>
      <c r="M34" s="153">
        <f t="shared" si="0"/>
        <v>2.0066666666666664</v>
      </c>
      <c r="N34" s="154">
        <f t="shared" si="1"/>
        <v>44099</v>
      </c>
      <c r="P34" s="156">
        <f t="shared" si="4"/>
        <v>-0.38500000000000001</v>
      </c>
    </row>
    <row r="35" spans="1:16" s="155" customFormat="1" x14ac:dyDescent="0.25">
      <c r="A35" s="150">
        <f t="shared" si="5"/>
        <v>44100</v>
      </c>
      <c r="B35" s="145">
        <f t="shared" si="2"/>
        <v>1.7</v>
      </c>
      <c r="C35" s="146">
        <f t="shared" si="6"/>
        <v>2.33</v>
      </c>
      <c r="D35" s="147">
        <f t="shared" si="7"/>
        <v>2.5</v>
      </c>
      <c r="E35" s="138">
        <v>0.90500000000000003</v>
      </c>
      <c r="F35" s="139">
        <v>1.625</v>
      </c>
      <c r="G35" s="140">
        <v>1.76</v>
      </c>
      <c r="H35" s="148">
        <f t="shared" si="10"/>
        <v>0.96</v>
      </c>
      <c r="I35" s="148">
        <f t="shared" si="10"/>
        <v>1.41</v>
      </c>
      <c r="J35" s="148">
        <f t="shared" si="10"/>
        <v>1.63</v>
      </c>
      <c r="K35" s="151">
        <f t="shared" si="0"/>
        <v>1.1883333333333332</v>
      </c>
      <c r="L35" s="152">
        <f t="shared" si="0"/>
        <v>1.7883333333333333</v>
      </c>
      <c r="M35" s="153">
        <f t="shared" si="0"/>
        <v>1.9633333333333332</v>
      </c>
      <c r="N35" s="154">
        <f t="shared" si="1"/>
        <v>44100</v>
      </c>
      <c r="P35" s="156">
        <f t="shared" si="4"/>
        <v>5.4999999999999938E-2</v>
      </c>
    </row>
    <row r="36" spans="1:16" x14ac:dyDescent="0.25">
      <c r="A36" s="109">
        <f t="shared" si="5"/>
        <v>44101</v>
      </c>
      <c r="B36" s="145">
        <f t="shared" si="2"/>
        <v>1.7</v>
      </c>
      <c r="C36" s="146">
        <f t="shared" si="6"/>
        <v>2.33</v>
      </c>
      <c r="D36" s="147">
        <f t="shared" si="7"/>
        <v>2.5</v>
      </c>
      <c r="E36" s="138">
        <v>0.90500000000000003</v>
      </c>
      <c r="F36" s="139">
        <v>1.625</v>
      </c>
      <c r="G36" s="140">
        <v>1.76</v>
      </c>
      <c r="H36" s="148">
        <f t="shared" si="10"/>
        <v>0.96</v>
      </c>
      <c r="I36" s="148">
        <f t="shared" si="10"/>
        <v>1.41</v>
      </c>
      <c r="J36" s="148">
        <f t="shared" si="10"/>
        <v>1.63</v>
      </c>
      <c r="K36" s="151">
        <f t="shared" si="0"/>
        <v>1.1883333333333332</v>
      </c>
      <c r="L36" s="142">
        <f t="shared" si="0"/>
        <v>1.7883333333333333</v>
      </c>
      <c r="M36" s="143">
        <f t="shared" si="0"/>
        <v>1.9633333333333332</v>
      </c>
      <c r="N36" s="154">
        <f t="shared" si="1"/>
        <v>44101</v>
      </c>
      <c r="P36" s="144">
        <f>H36-E36</f>
        <v>5.4999999999999938E-2</v>
      </c>
    </row>
    <row r="37" spans="1:16" ht="13" x14ac:dyDescent="0.3">
      <c r="A37" s="109">
        <f t="shared" si="5"/>
        <v>44102</v>
      </c>
      <c r="B37" s="145">
        <f t="shared" si="2"/>
        <v>1.7</v>
      </c>
      <c r="C37" s="146">
        <f t="shared" si="6"/>
        <v>2.33</v>
      </c>
      <c r="D37" s="147">
        <f t="shared" si="7"/>
        <v>2.5</v>
      </c>
      <c r="E37" s="138">
        <v>0.90500000000000003</v>
      </c>
      <c r="F37" s="139">
        <v>1.625</v>
      </c>
      <c r="G37" s="140">
        <v>1.76</v>
      </c>
      <c r="H37" s="148">
        <f t="shared" si="10"/>
        <v>0.96</v>
      </c>
      <c r="I37" s="148">
        <f t="shared" si="10"/>
        <v>1.41</v>
      </c>
      <c r="J37" s="148">
        <f t="shared" si="10"/>
        <v>1.63</v>
      </c>
      <c r="K37" s="151">
        <f t="shared" si="0"/>
        <v>1.1883333333333332</v>
      </c>
      <c r="L37" s="142">
        <f t="shared" si="0"/>
        <v>1.7883333333333333</v>
      </c>
      <c r="M37" s="143">
        <f t="shared" si="0"/>
        <v>1.9633333333333332</v>
      </c>
      <c r="N37" s="157">
        <f t="shared" si="1"/>
        <v>44102</v>
      </c>
      <c r="P37" s="144">
        <f t="shared" si="4"/>
        <v>5.4999999999999938E-2</v>
      </c>
    </row>
    <row r="38" spans="1:16" s="155" customFormat="1" ht="13" x14ac:dyDescent="0.3">
      <c r="A38" s="150">
        <f t="shared" si="5"/>
        <v>44103</v>
      </c>
      <c r="B38" s="145">
        <f t="shared" si="2"/>
        <v>1.7</v>
      </c>
      <c r="C38" s="146">
        <f t="shared" si="6"/>
        <v>2.33</v>
      </c>
      <c r="D38" s="147">
        <f t="shared" si="7"/>
        <v>2.5</v>
      </c>
      <c r="E38" s="138">
        <v>1.2949999999999999</v>
      </c>
      <c r="F38" s="139">
        <v>1.4650000000000001</v>
      </c>
      <c r="G38" s="140">
        <v>1.75</v>
      </c>
      <c r="H38" s="158">
        <v>0.96</v>
      </c>
      <c r="I38" s="158">
        <v>1.1399999999999999</v>
      </c>
      <c r="J38" s="158">
        <v>1.25</v>
      </c>
      <c r="K38" s="151">
        <f t="shared" ref="K38:M39" si="11">AVERAGE(B38,E38,H38)</f>
        <v>1.3183333333333334</v>
      </c>
      <c r="L38" s="152">
        <f t="shared" si="11"/>
        <v>1.6449999999999998</v>
      </c>
      <c r="M38" s="153">
        <f t="shared" si="11"/>
        <v>1.8333333333333333</v>
      </c>
      <c r="N38" s="154">
        <f t="shared" si="1"/>
        <v>44103</v>
      </c>
      <c r="P38" s="156">
        <f t="shared" si="4"/>
        <v>-0.33499999999999996</v>
      </c>
    </row>
    <row r="39" spans="1:16" ht="13" x14ac:dyDescent="0.3">
      <c r="A39" s="109">
        <f t="shared" si="5"/>
        <v>44104</v>
      </c>
      <c r="B39" s="145">
        <f t="shared" si="2"/>
        <v>1.7</v>
      </c>
      <c r="C39" s="146">
        <f t="shared" si="6"/>
        <v>2.33</v>
      </c>
      <c r="D39" s="147">
        <f t="shared" si="7"/>
        <v>2.5</v>
      </c>
      <c r="E39" s="138">
        <v>1.2</v>
      </c>
      <c r="F39" s="139">
        <v>1.3049999999999999</v>
      </c>
      <c r="G39" s="140">
        <v>1.52</v>
      </c>
      <c r="H39" s="148">
        <f>H38</f>
        <v>0.96</v>
      </c>
      <c r="I39" s="148">
        <f>I38</f>
        <v>1.1399999999999999</v>
      </c>
      <c r="J39" s="148">
        <f>J38</f>
        <v>1.25</v>
      </c>
      <c r="K39" s="151">
        <f t="shared" si="11"/>
        <v>1.2866666666666666</v>
      </c>
      <c r="L39" s="142">
        <f t="shared" si="11"/>
        <v>1.5916666666666666</v>
      </c>
      <c r="M39" s="143">
        <f t="shared" si="11"/>
        <v>1.7566666666666666</v>
      </c>
      <c r="N39" s="157">
        <f t="shared" si="1"/>
        <v>44104</v>
      </c>
      <c r="P39" s="144">
        <f t="shared" si="4"/>
        <v>-0.24</v>
      </c>
    </row>
    <row r="40" spans="1:16" ht="13" x14ac:dyDescent="0.3">
      <c r="B40" s="145"/>
      <c r="C40" s="146"/>
      <c r="D40" s="147"/>
      <c r="E40" s="138"/>
      <c r="F40" s="139"/>
      <c r="G40" s="140"/>
      <c r="H40" s="148"/>
      <c r="I40" s="148"/>
      <c r="J40" s="148"/>
      <c r="K40" s="151"/>
      <c r="L40" s="142"/>
      <c r="M40" s="143"/>
      <c r="N40" s="157"/>
      <c r="P40" s="144"/>
    </row>
    <row r="41" spans="1:16" x14ac:dyDescent="0.25">
      <c r="B41" s="145"/>
      <c r="C41" s="146"/>
      <c r="D41" s="147"/>
      <c r="E41" s="159"/>
      <c r="F41" s="160"/>
      <c r="G41" s="161"/>
      <c r="H41" s="159"/>
      <c r="I41" s="160"/>
      <c r="J41" s="161"/>
      <c r="K41" s="141"/>
      <c r="L41" s="142"/>
      <c r="M41" s="143"/>
    </row>
    <row r="42" spans="1:16" s="155" customFormat="1" ht="13" x14ac:dyDescent="0.3">
      <c r="A42" s="162" t="s">
        <v>102</v>
      </c>
      <c r="B42" s="163">
        <f t="shared" ref="B42:M42" si="12">AVERAGE(B10:B39)</f>
        <v>1.7000000000000006</v>
      </c>
      <c r="C42" s="163">
        <f t="shared" si="12"/>
        <v>2.3299999999999987</v>
      </c>
      <c r="D42" s="163">
        <f t="shared" si="12"/>
        <v>2.5</v>
      </c>
      <c r="E42" s="163">
        <f t="shared" si="12"/>
        <v>1.3548333333333338</v>
      </c>
      <c r="F42" s="163">
        <f t="shared" si="12"/>
        <v>1.6726666666666667</v>
      </c>
      <c r="G42" s="163">
        <f t="shared" si="12"/>
        <v>1.8764999999999996</v>
      </c>
      <c r="H42" s="163">
        <f t="shared" si="12"/>
        <v>1.3239999999999996</v>
      </c>
      <c r="I42" s="163">
        <f t="shared" si="12"/>
        <v>1.5903333333333327</v>
      </c>
      <c r="J42" s="163">
        <f t="shared" si="12"/>
        <v>1.8963333333333341</v>
      </c>
      <c r="K42" s="163">
        <f t="shared" si="12"/>
        <v>1.4596111111111112</v>
      </c>
      <c r="L42" s="163">
        <f t="shared" si="12"/>
        <v>1.8643333333333338</v>
      </c>
      <c r="M42" s="163">
        <f t="shared" si="12"/>
        <v>2.0909444444444443</v>
      </c>
      <c r="N42" s="164"/>
    </row>
    <row r="43" spans="1:16" x14ac:dyDescent="0.25">
      <c r="B43" s="165"/>
      <c r="C43" s="165"/>
      <c r="D43" s="165"/>
      <c r="E43" s="165"/>
      <c r="F43" s="165"/>
      <c r="G43" s="165"/>
      <c r="H43" s="165"/>
      <c r="I43" s="165"/>
      <c r="J43" s="165"/>
      <c r="K43" s="166"/>
      <c r="L43" s="167"/>
    </row>
    <row r="44" spans="1:16" x14ac:dyDescent="0.25">
      <c r="B44" s="165"/>
      <c r="C44" s="165"/>
      <c r="D44" s="165"/>
      <c r="E44" s="165"/>
      <c r="F44" s="165"/>
      <c r="G44" s="168"/>
      <c r="H44" s="169"/>
      <c r="I44" s="168"/>
      <c r="J44" s="165"/>
      <c r="K44" s="166"/>
      <c r="L44" s="167"/>
    </row>
    <row r="45" spans="1:16" x14ac:dyDescent="0.25">
      <c r="B45" s="165"/>
      <c r="C45" s="165"/>
      <c r="D45" s="165"/>
      <c r="E45" s="165"/>
      <c r="F45" s="165"/>
      <c r="G45" s="165"/>
      <c r="H45" s="165"/>
      <c r="I45" s="165"/>
      <c r="J45" s="165"/>
      <c r="K45" s="166"/>
      <c r="L45" s="167"/>
    </row>
    <row r="46" spans="1:16" x14ac:dyDescent="0.25">
      <c r="B46" s="165"/>
      <c r="C46" s="165"/>
      <c r="D46" s="165"/>
      <c r="E46" s="165"/>
      <c r="F46" s="165"/>
      <c r="G46" s="165"/>
      <c r="H46" s="165"/>
      <c r="I46" s="165"/>
      <c r="J46" s="165"/>
      <c r="K46" s="166"/>
      <c r="L46" s="167"/>
    </row>
    <row r="47" spans="1:16" x14ac:dyDescent="0.25">
      <c r="B47" s="165"/>
      <c r="C47" s="165"/>
      <c r="D47" s="165"/>
      <c r="E47" s="165"/>
      <c r="F47" s="165"/>
      <c r="G47" s="165"/>
      <c r="H47" s="165"/>
      <c r="I47" s="165"/>
      <c r="J47" s="165"/>
      <c r="K47" s="166"/>
      <c r="L47" s="167"/>
    </row>
    <row r="48" spans="1:16" ht="13" x14ac:dyDescent="0.3">
      <c r="A48" s="170" t="s">
        <v>103</v>
      </c>
      <c r="B48" s="171"/>
      <c r="C48" s="171"/>
      <c r="D48" s="171"/>
      <c r="E48" s="171"/>
      <c r="F48" s="171"/>
      <c r="G48" s="171"/>
      <c r="H48" s="171"/>
      <c r="I48" s="171"/>
      <c r="J48" s="172"/>
      <c r="K48" s="166"/>
      <c r="L48" s="167"/>
    </row>
    <row r="49" spans="1:17" x14ac:dyDescent="0.25">
      <c r="A49" s="173"/>
      <c r="B49" s="142"/>
      <c r="C49" s="142"/>
      <c r="D49" s="142"/>
      <c r="E49" s="142"/>
      <c r="F49" s="142"/>
      <c r="G49" s="142"/>
      <c r="H49" s="142"/>
      <c r="I49" s="142"/>
      <c r="J49" s="174"/>
      <c r="K49" s="166"/>
      <c r="L49" s="167"/>
    </row>
    <row r="50" spans="1:17" ht="14" x14ac:dyDescent="0.3">
      <c r="A50" s="175"/>
      <c r="B50" s="176"/>
      <c r="C50" s="176"/>
      <c r="D50" s="176"/>
      <c r="E50" s="177" t="s">
        <v>104</v>
      </c>
      <c r="F50" s="177" t="s">
        <v>104</v>
      </c>
      <c r="G50" s="177" t="s">
        <v>105</v>
      </c>
      <c r="H50" s="176"/>
      <c r="I50" s="176"/>
      <c r="J50" s="178"/>
      <c r="L50" s="167"/>
      <c r="M50" s="179"/>
    </row>
    <row r="51" spans="1:17" ht="15" customHeight="1" x14ac:dyDescent="0.3">
      <c r="A51" s="175"/>
      <c r="B51" s="180" t="s">
        <v>42</v>
      </c>
      <c r="C51" s="180" t="s">
        <v>106</v>
      </c>
      <c r="D51" s="176"/>
      <c r="E51" s="180" t="s">
        <v>107</v>
      </c>
      <c r="F51" s="180" t="s">
        <v>108</v>
      </c>
      <c r="G51" s="180" t="s">
        <v>108</v>
      </c>
      <c r="H51" s="205" t="s">
        <v>109</v>
      </c>
      <c r="I51" s="205"/>
      <c r="J51" s="178"/>
      <c r="K51" s="181"/>
      <c r="L51" s="182"/>
      <c r="M51" s="179"/>
    </row>
    <row r="52" spans="1:17" ht="15" customHeight="1" x14ac:dyDescent="0.3">
      <c r="A52" s="175"/>
      <c r="B52" s="176" t="s">
        <v>55</v>
      </c>
      <c r="C52" s="176" t="s">
        <v>110</v>
      </c>
      <c r="D52" s="176"/>
      <c r="E52" s="183">
        <f>972280-8080-75000</f>
        <v>889200</v>
      </c>
      <c r="F52" s="184">
        <f>1465363.9-19109.9-180300</f>
        <v>1265954</v>
      </c>
      <c r="G52" s="185">
        <f>E52*$K$42</f>
        <v>1297886.2000000002</v>
      </c>
      <c r="H52" s="176"/>
      <c r="I52" s="186">
        <f>G52-F52</f>
        <v>31932.200000000186</v>
      </c>
      <c r="J52" s="178"/>
      <c r="L52" s="167"/>
      <c r="M52" s="179"/>
    </row>
    <row r="53" spans="1:17" ht="14" x14ac:dyDescent="0.3">
      <c r="A53" s="175"/>
      <c r="B53" s="176" t="s">
        <v>111</v>
      </c>
      <c r="C53" s="176" t="s">
        <v>112</v>
      </c>
      <c r="D53" s="176"/>
      <c r="E53" s="183">
        <v>0</v>
      </c>
      <c r="F53" s="184">
        <v>0</v>
      </c>
      <c r="G53" s="185">
        <f>E53*$L$42</f>
        <v>0</v>
      </c>
      <c r="H53" s="176"/>
      <c r="I53" s="186">
        <f t="shared" ref="I53:I54" si="13">G53-F53</f>
        <v>0</v>
      </c>
      <c r="J53" s="178"/>
      <c r="L53" s="167"/>
      <c r="M53" s="179"/>
    </row>
    <row r="54" spans="1:17" s="103" customFormat="1" ht="14" x14ac:dyDescent="0.3">
      <c r="A54" s="175"/>
      <c r="B54" s="176" t="s">
        <v>113</v>
      </c>
      <c r="C54" s="176">
        <v>500</v>
      </c>
      <c r="D54" s="176"/>
      <c r="E54" s="183">
        <v>0</v>
      </c>
      <c r="F54" s="184">
        <v>0</v>
      </c>
      <c r="G54" s="185">
        <f>E54*$M$42</f>
        <v>0</v>
      </c>
      <c r="H54" s="176"/>
      <c r="I54" s="186">
        <f t="shared" si="13"/>
        <v>0</v>
      </c>
      <c r="J54" s="178"/>
      <c r="L54" s="167"/>
      <c r="M54" s="179"/>
      <c r="O54" s="104"/>
      <c r="P54" s="104"/>
      <c r="Q54" s="104"/>
    </row>
    <row r="55" spans="1:17" s="103" customFormat="1" ht="14.5" thickBot="1" x14ac:dyDescent="0.35">
      <c r="A55" s="175"/>
      <c r="B55" s="176"/>
      <c r="C55" s="176"/>
      <c r="D55" s="176"/>
      <c r="E55" s="183"/>
      <c r="F55" s="184"/>
      <c r="G55" s="176"/>
      <c r="H55" s="176"/>
      <c r="I55" s="176"/>
      <c r="J55" s="178"/>
      <c r="L55" s="167"/>
      <c r="M55" s="179"/>
      <c r="O55" s="104"/>
      <c r="P55" s="104"/>
      <c r="Q55" s="104"/>
    </row>
    <row r="56" spans="1:17" s="103" customFormat="1" ht="14.5" thickBot="1" x14ac:dyDescent="0.35">
      <c r="A56" s="175"/>
      <c r="B56" s="176"/>
      <c r="C56" s="176"/>
      <c r="D56" s="176"/>
      <c r="E56" s="183"/>
      <c r="F56" s="184"/>
      <c r="G56" s="176"/>
      <c r="H56" s="187"/>
      <c r="I56" s="188">
        <f>SUM(I52:I55)</f>
        <v>31932.200000000186</v>
      </c>
      <c r="J56" s="178"/>
      <c r="L56" s="167"/>
      <c r="M56" s="179"/>
      <c r="O56" s="104"/>
      <c r="P56" s="104"/>
      <c r="Q56" s="104"/>
    </row>
    <row r="57" spans="1:17" s="103" customFormat="1" ht="14" x14ac:dyDescent="0.3">
      <c r="A57" s="189"/>
      <c r="B57" s="190"/>
      <c r="C57" s="190"/>
      <c r="D57" s="190"/>
      <c r="E57" s="191"/>
      <c r="F57" s="190"/>
      <c r="G57" s="190"/>
      <c r="H57" s="190"/>
      <c r="I57" s="190"/>
      <c r="J57" s="192"/>
      <c r="L57" s="167"/>
      <c r="M57" s="179"/>
      <c r="O57" s="104"/>
      <c r="P57" s="104"/>
      <c r="Q57" s="104"/>
    </row>
    <row r="58" spans="1:17" s="103" customFormat="1" ht="14" x14ac:dyDescent="0.3">
      <c r="A58" s="109"/>
      <c r="L58" s="167"/>
      <c r="M58" s="179"/>
      <c r="O58" s="104"/>
      <c r="P58" s="104"/>
      <c r="Q58" s="104"/>
    </row>
    <row r="59" spans="1:17" s="103" customFormat="1" ht="14" x14ac:dyDescent="0.3">
      <c r="A59" s="193"/>
      <c r="L59" s="167"/>
      <c r="M59" s="179"/>
      <c r="O59" s="104"/>
      <c r="P59" s="104"/>
      <c r="Q59" s="104"/>
    </row>
    <row r="60" spans="1:17" s="103" customFormat="1" ht="14" x14ac:dyDescent="0.3">
      <c r="A60" s="109"/>
      <c r="L60" s="167"/>
      <c r="M60" s="179"/>
      <c r="O60" s="104"/>
      <c r="P60" s="104"/>
      <c r="Q60" s="104"/>
    </row>
    <row r="61" spans="1:17" s="103" customFormat="1" x14ac:dyDescent="0.25">
      <c r="A61" s="109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167"/>
      <c r="O61" s="104"/>
      <c r="P61" s="104"/>
      <c r="Q61" s="104"/>
    </row>
    <row r="62" spans="1:17" s="103" customFormat="1" ht="13" x14ac:dyDescent="0.3">
      <c r="A62" s="170" t="s">
        <v>114</v>
      </c>
      <c r="B62" s="171"/>
      <c r="C62" s="171"/>
      <c r="D62" s="171"/>
      <c r="E62" s="171"/>
      <c r="F62" s="171"/>
      <c r="G62" s="171"/>
      <c r="H62" s="171"/>
      <c r="I62" s="171"/>
      <c r="J62" s="172"/>
      <c r="K62" s="166"/>
      <c r="L62" s="167"/>
      <c r="O62" s="104"/>
      <c r="P62" s="104"/>
      <c r="Q62" s="104"/>
    </row>
    <row r="63" spans="1:17" s="103" customFormat="1" x14ac:dyDescent="0.25">
      <c r="A63" s="173"/>
      <c r="B63" s="142"/>
      <c r="C63" s="142"/>
      <c r="D63" s="142"/>
      <c r="E63" s="142"/>
      <c r="F63" s="142"/>
      <c r="G63" s="142"/>
      <c r="H63" s="142"/>
      <c r="I63" s="142"/>
      <c r="J63" s="174"/>
      <c r="K63" s="166"/>
      <c r="L63" s="167"/>
      <c r="O63" s="104"/>
      <c r="P63" s="104"/>
      <c r="Q63" s="104"/>
    </row>
    <row r="64" spans="1:17" s="103" customFormat="1" ht="13" x14ac:dyDescent="0.3">
      <c r="A64" s="175"/>
      <c r="B64" s="176"/>
      <c r="C64" s="176"/>
      <c r="D64" s="176"/>
      <c r="E64" s="177" t="s">
        <v>104</v>
      </c>
      <c r="F64" s="177" t="s">
        <v>104</v>
      </c>
      <c r="G64" s="177" t="s">
        <v>105</v>
      </c>
      <c r="H64" s="176"/>
      <c r="I64" s="176"/>
      <c r="J64" s="178"/>
      <c r="L64" s="167"/>
      <c r="M64" s="194"/>
      <c r="O64" s="104"/>
      <c r="P64" s="104"/>
      <c r="Q64" s="104"/>
    </row>
    <row r="65" spans="1:17" s="103" customFormat="1" ht="13" x14ac:dyDescent="0.3">
      <c r="A65" s="175"/>
      <c r="B65" s="180" t="s">
        <v>42</v>
      </c>
      <c r="C65" s="180" t="s">
        <v>106</v>
      </c>
      <c r="D65" s="176"/>
      <c r="E65" s="180" t="s">
        <v>107</v>
      </c>
      <c r="F65" s="180" t="s">
        <v>108</v>
      </c>
      <c r="G65" s="180" t="s">
        <v>108</v>
      </c>
      <c r="H65" s="205" t="s">
        <v>109</v>
      </c>
      <c r="I65" s="205"/>
      <c r="J65" s="178"/>
      <c r="L65" s="167"/>
      <c r="O65" s="104"/>
      <c r="P65" s="104"/>
      <c r="Q65" s="104"/>
    </row>
    <row r="66" spans="1:17" x14ac:dyDescent="0.25">
      <c r="A66" s="175"/>
      <c r="B66" s="176" t="s">
        <v>55</v>
      </c>
      <c r="C66" s="176" t="s">
        <v>110</v>
      </c>
      <c r="D66" s="176"/>
      <c r="E66" s="183">
        <f>964200-75000</f>
        <v>889200</v>
      </c>
      <c r="F66" s="184">
        <f>1446254-180300</f>
        <v>1265954</v>
      </c>
      <c r="G66" s="185">
        <f>E66*K42</f>
        <v>1297886.2000000002</v>
      </c>
      <c r="H66" s="176"/>
      <c r="I66" s="186">
        <f>G66-F66</f>
        <v>31932.200000000186</v>
      </c>
      <c r="J66" s="178"/>
    </row>
    <row r="67" spans="1:17" s="103" customFormat="1" x14ac:dyDescent="0.25">
      <c r="A67" s="175"/>
      <c r="B67" s="176" t="s">
        <v>111</v>
      </c>
      <c r="C67" s="176" t="s">
        <v>112</v>
      </c>
      <c r="D67" s="176"/>
      <c r="E67" s="183">
        <v>0</v>
      </c>
      <c r="F67" s="184">
        <v>0</v>
      </c>
      <c r="G67" s="185">
        <f>E67*$L$42</f>
        <v>0</v>
      </c>
      <c r="H67" s="176"/>
      <c r="I67" s="186">
        <f t="shared" ref="I67:I68" si="14">G67-F67</f>
        <v>0</v>
      </c>
      <c r="J67" s="178"/>
      <c r="K67" s="166"/>
      <c r="L67" s="167"/>
      <c r="O67" s="104"/>
      <c r="P67" s="104"/>
      <c r="Q67" s="104"/>
    </row>
    <row r="68" spans="1:17" s="103" customFormat="1" x14ac:dyDescent="0.25">
      <c r="A68" s="175"/>
      <c r="B68" s="176" t="s">
        <v>113</v>
      </c>
      <c r="C68" s="176">
        <v>500</v>
      </c>
      <c r="D68" s="176"/>
      <c r="E68" s="183">
        <v>0</v>
      </c>
      <c r="F68" s="184">
        <v>0</v>
      </c>
      <c r="G68" s="185">
        <f>E68*$M$42</f>
        <v>0</v>
      </c>
      <c r="H68" s="176"/>
      <c r="I68" s="186">
        <f t="shared" si="14"/>
        <v>0</v>
      </c>
      <c r="J68" s="178"/>
      <c r="K68" s="166"/>
      <c r="L68" s="167"/>
      <c r="O68" s="104"/>
      <c r="P68" s="104"/>
      <c r="Q68" s="104"/>
    </row>
    <row r="69" spans="1:17" s="103" customFormat="1" ht="13" thickBot="1" x14ac:dyDescent="0.3">
      <c r="A69" s="175"/>
      <c r="B69" s="176"/>
      <c r="C69" s="176"/>
      <c r="D69" s="176"/>
      <c r="E69" s="183"/>
      <c r="F69" s="184"/>
      <c r="G69" s="176"/>
      <c r="H69" s="176"/>
      <c r="I69" s="176"/>
      <c r="J69" s="178"/>
      <c r="K69" s="166"/>
      <c r="L69" s="167"/>
      <c r="O69" s="104"/>
      <c r="P69" s="104"/>
      <c r="Q69" s="104"/>
    </row>
    <row r="70" spans="1:17" s="103" customFormat="1" ht="13" thickBot="1" x14ac:dyDescent="0.3">
      <c r="A70" s="175"/>
      <c r="B70" s="176"/>
      <c r="C70" s="176"/>
      <c r="D70" s="176"/>
      <c r="E70" s="183"/>
      <c r="F70" s="184"/>
      <c r="G70" s="176"/>
      <c r="H70" s="187"/>
      <c r="I70" s="188">
        <f>SUM(I66:I69)</f>
        <v>31932.200000000186</v>
      </c>
      <c r="J70" s="178"/>
      <c r="L70" s="167"/>
      <c r="M70" s="194"/>
      <c r="O70" s="104"/>
      <c r="P70" s="104"/>
      <c r="Q70" s="104"/>
    </row>
    <row r="71" spans="1:17" s="103" customFormat="1" x14ac:dyDescent="0.25">
      <c r="A71" s="189"/>
      <c r="B71" s="190"/>
      <c r="C71" s="190"/>
      <c r="D71" s="190"/>
      <c r="E71" s="191"/>
      <c r="F71" s="190"/>
      <c r="G71" s="190"/>
      <c r="H71" s="190"/>
      <c r="I71" s="190"/>
      <c r="J71" s="192"/>
      <c r="L71" s="167"/>
      <c r="O71" s="104"/>
      <c r="P71" s="104"/>
      <c r="Q71" s="104"/>
    </row>
    <row r="72" spans="1:17" s="103" customFormat="1" x14ac:dyDescent="0.25">
      <c r="A72" s="109"/>
      <c r="L72" s="167"/>
      <c r="O72" s="104"/>
      <c r="P72" s="104"/>
      <c r="Q72" s="104"/>
    </row>
    <row r="73" spans="1:17" ht="13" x14ac:dyDescent="0.3">
      <c r="A73" s="193"/>
    </row>
    <row r="74" spans="1:17" s="103" customFormat="1" x14ac:dyDescent="0.25">
      <c r="A74" s="109"/>
      <c r="L74" s="167"/>
      <c r="M74" s="194"/>
      <c r="O74" s="104"/>
      <c r="P74" s="104"/>
      <c r="Q74" s="104"/>
    </row>
    <row r="75" spans="1:17" s="103" customFormat="1" x14ac:dyDescent="0.25">
      <c r="A75" s="109"/>
      <c r="B75" s="165"/>
      <c r="C75" s="165"/>
      <c r="D75" s="165"/>
      <c r="E75" s="165"/>
      <c r="F75" s="165"/>
      <c r="G75" s="165"/>
      <c r="H75" s="165"/>
      <c r="I75" s="165"/>
      <c r="J75" s="165"/>
      <c r="K75" s="166"/>
      <c r="L75" s="167"/>
      <c r="O75" s="104"/>
      <c r="P75" s="104"/>
      <c r="Q75" s="104"/>
    </row>
    <row r="76" spans="1:17" s="103" customFormat="1" x14ac:dyDescent="0.25">
      <c r="A76" s="109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7"/>
      <c r="M76" s="165"/>
      <c r="O76" s="104"/>
      <c r="P76" s="104"/>
      <c r="Q76" s="104"/>
    </row>
    <row r="77" spans="1:17" s="103" customFormat="1" x14ac:dyDescent="0.25">
      <c r="A77" s="109"/>
      <c r="B77" s="165"/>
      <c r="C77" s="165"/>
      <c r="D77" s="165"/>
      <c r="E77" s="165"/>
      <c r="F77" s="165"/>
      <c r="G77" s="165"/>
      <c r="H77" s="165"/>
      <c r="I77" s="165"/>
      <c r="J77" s="165"/>
      <c r="K77" s="166"/>
      <c r="L77" s="167"/>
      <c r="O77" s="104"/>
      <c r="P77" s="104"/>
      <c r="Q77" s="104"/>
    </row>
    <row r="78" spans="1:17" s="103" customFormat="1" x14ac:dyDescent="0.25">
      <c r="A78" s="109"/>
      <c r="B78" s="165"/>
      <c r="C78" s="165"/>
      <c r="D78" s="165"/>
      <c r="E78" s="165"/>
      <c r="F78" s="165"/>
      <c r="G78" s="165"/>
      <c r="H78" s="165"/>
      <c r="I78" s="165"/>
      <c r="J78" s="165"/>
      <c r="K78" s="166"/>
      <c r="L78" s="167"/>
      <c r="M78" s="194"/>
      <c r="O78" s="104"/>
      <c r="P78" s="104"/>
      <c r="Q78" s="104"/>
    </row>
    <row r="79" spans="1:17" s="103" customFormat="1" x14ac:dyDescent="0.25">
      <c r="A79" s="109"/>
      <c r="B79" s="165"/>
      <c r="C79" s="165"/>
      <c r="D79" s="165"/>
      <c r="E79" s="165"/>
      <c r="F79" s="165"/>
      <c r="G79" s="165"/>
      <c r="H79" s="165"/>
      <c r="I79" s="165"/>
      <c r="J79" s="165"/>
      <c r="K79" s="166"/>
      <c r="L79" s="167"/>
      <c r="O79" s="104"/>
      <c r="P79" s="104"/>
      <c r="Q79" s="104"/>
    </row>
    <row r="80" spans="1:17" s="103" customFormat="1" x14ac:dyDescent="0.25">
      <c r="A80" s="109"/>
      <c r="L80" s="167"/>
      <c r="O80" s="104"/>
      <c r="P80" s="104"/>
      <c r="Q80" s="104"/>
    </row>
    <row r="81" spans="1:17" s="103" customFormat="1" x14ac:dyDescent="0.25">
      <c r="A81" s="109"/>
      <c r="L81" s="167"/>
      <c r="O81" s="104"/>
      <c r="P81" s="104"/>
      <c r="Q81" s="104"/>
    </row>
    <row r="82" spans="1:17" s="103" customFormat="1" x14ac:dyDescent="0.25">
      <c r="A82" s="109"/>
      <c r="B82" s="165"/>
      <c r="C82" s="165"/>
      <c r="D82" s="165"/>
      <c r="E82" s="165"/>
      <c r="F82" s="165"/>
      <c r="G82" s="165"/>
      <c r="H82" s="165"/>
      <c r="I82" s="165"/>
      <c r="J82" s="165"/>
      <c r="L82" s="167"/>
      <c r="M82" s="194"/>
      <c r="O82" s="104"/>
      <c r="P82" s="104"/>
      <c r="Q82" s="104"/>
    </row>
  </sheetData>
  <mergeCells count="8">
    <mergeCell ref="H51:I51"/>
    <mergeCell ref="H65:I65"/>
    <mergeCell ref="H6:J6"/>
    <mergeCell ref="K6:M6"/>
    <mergeCell ref="B7:D7"/>
    <mergeCell ref="E7:G7"/>
    <mergeCell ref="H7:J7"/>
    <mergeCell ref="K7:M7"/>
  </mergeCells>
  <pageMargins left="0" right="0" top="0.53" bottom="0.74" header="0.21" footer="0.4"/>
  <pageSetup scale="74" fitToHeight="0" orientation="portrait" r:id="rId1"/>
  <headerFooter alignWithMargins="0">
    <oddHeader xml:space="preserve">&amp;RKY PSC CN 2020-00378  
 Staff's Data Request Set 1 No. 5 Attachment D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zoomScaleSheetLayoutView="100" workbookViewId="0">
      <selection activeCell="H3" sqref="H3"/>
    </sheetView>
  </sheetViews>
  <sheetFormatPr defaultColWidth="9.1796875" defaultRowHeight="15.5" x14ac:dyDescent="0.35"/>
  <cols>
    <col min="1" max="1" width="4.26953125" style="2" customWidth="1"/>
    <col min="2" max="2" width="16.7265625" style="2" customWidth="1"/>
    <col min="3" max="3" width="18.54296875" style="2" customWidth="1"/>
    <col min="4" max="4" width="16.1796875" style="2" customWidth="1"/>
    <col min="5" max="5" width="5.54296875" style="2" customWidth="1"/>
    <col min="6" max="6" width="18" style="2" customWidth="1"/>
    <col min="7" max="7" width="5.1796875" style="2" customWidth="1"/>
    <col min="8" max="8" width="32.54296875" style="2" customWidth="1"/>
    <col min="9" max="9" width="12" style="2" bestFit="1" customWidth="1"/>
    <col min="10" max="16384" width="9.1796875" style="2"/>
  </cols>
  <sheetData>
    <row r="1" spans="1:8" ht="18.5" x14ac:dyDescent="0.45">
      <c r="A1" s="1" t="s">
        <v>0</v>
      </c>
    </row>
    <row r="2" spans="1:8" ht="18.5" x14ac:dyDescent="0.45">
      <c r="A2" s="1" t="s">
        <v>1</v>
      </c>
    </row>
    <row r="3" spans="1:8" ht="18.5" x14ac:dyDescent="0.45">
      <c r="A3" s="3" t="s">
        <v>2</v>
      </c>
      <c r="C3" s="4">
        <v>44105</v>
      </c>
    </row>
    <row r="5" spans="1:8" x14ac:dyDescent="0.35">
      <c r="B5" s="5"/>
      <c r="C5" s="5"/>
      <c r="D5" s="6">
        <f>C3</f>
        <v>44105</v>
      </c>
      <c r="E5" s="7"/>
      <c r="F5" s="6">
        <f>C3</f>
        <v>44105</v>
      </c>
      <c r="G5" s="6"/>
      <c r="H5" s="7"/>
    </row>
    <row r="6" spans="1:8" x14ac:dyDescent="0.35">
      <c r="A6" s="8" t="s">
        <v>3</v>
      </c>
      <c r="B6" s="9" t="s">
        <v>4</v>
      </c>
      <c r="C6" s="9"/>
      <c r="D6" s="10" t="s">
        <v>5</v>
      </c>
      <c r="E6" s="11"/>
      <c r="F6" s="10" t="s">
        <v>6</v>
      </c>
      <c r="G6" s="10"/>
      <c r="H6" s="12"/>
    </row>
    <row r="7" spans="1:8" x14ac:dyDescent="0.35">
      <c r="A7" s="13">
        <v>1</v>
      </c>
      <c r="B7" s="12" t="s">
        <v>7</v>
      </c>
      <c r="C7" s="12"/>
      <c r="D7" s="14">
        <f>D24*0.3</f>
        <v>14590.845899999998</v>
      </c>
      <c r="E7" s="15"/>
      <c r="F7" s="14">
        <f>F24*0.3</f>
        <v>14578.026539999999</v>
      </c>
      <c r="G7" s="15"/>
      <c r="H7" s="16" t="s">
        <v>8</v>
      </c>
    </row>
    <row r="8" spans="1:8" x14ac:dyDescent="0.35">
      <c r="A8" s="13">
        <f>A7+1</f>
        <v>2</v>
      </c>
      <c r="B8" s="12" t="s">
        <v>7</v>
      </c>
      <c r="C8" s="12"/>
      <c r="D8" s="17">
        <f>IF(D24&gt;0,(D16-D24)*0.5,0)</f>
        <v>315192.64349999995</v>
      </c>
      <c r="E8" s="18"/>
      <c r="F8" s="17">
        <f>IF(F24&gt;0,(F16-F24)*0.5,0)</f>
        <v>315214.00909999997</v>
      </c>
      <c r="G8" s="18"/>
      <c r="H8" s="16" t="s">
        <v>9</v>
      </c>
    </row>
    <row r="9" spans="1:8" x14ac:dyDescent="0.35">
      <c r="A9" s="13">
        <f>A8+1</f>
        <v>3</v>
      </c>
      <c r="B9" s="19" t="s">
        <v>10</v>
      </c>
      <c r="C9" s="19"/>
      <c r="D9" s="20">
        <f>D7+D8</f>
        <v>329783.48939999996</v>
      </c>
      <c r="E9" s="21"/>
      <c r="F9" s="20">
        <f>F7+F8</f>
        <v>329792.03563999996</v>
      </c>
      <c r="G9" s="21"/>
      <c r="H9" s="22"/>
    </row>
    <row r="10" spans="1:8" x14ac:dyDescent="0.35">
      <c r="A10" s="13"/>
      <c r="B10" s="12"/>
      <c r="C10" s="12"/>
      <c r="D10" s="23"/>
      <c r="E10" s="24"/>
      <c r="F10" s="24"/>
      <c r="G10" s="24"/>
      <c r="H10" s="22"/>
    </row>
    <row r="11" spans="1:8" x14ac:dyDescent="0.35">
      <c r="A11" s="13">
        <f>A9+1</f>
        <v>4</v>
      </c>
      <c r="B11" s="12" t="s">
        <v>11</v>
      </c>
      <c r="C11" s="12"/>
      <c r="D11" s="25">
        <v>318634.5</v>
      </c>
      <c r="E11" s="26"/>
      <c r="F11" s="25">
        <v>318634.5</v>
      </c>
      <c r="G11" s="27"/>
      <c r="H11" s="28"/>
    </row>
    <row r="12" spans="1:8" x14ac:dyDescent="0.35">
      <c r="A12" s="13">
        <f>A11+1</f>
        <v>5</v>
      </c>
      <c r="B12" s="12" t="s">
        <v>12</v>
      </c>
      <c r="C12" s="12"/>
      <c r="D12" s="29">
        <v>161899.35</v>
      </c>
      <c r="E12" s="30"/>
      <c r="F12" s="25">
        <v>161899.35</v>
      </c>
      <c r="G12" s="31"/>
      <c r="H12" s="22"/>
    </row>
    <row r="13" spans="1:8" x14ac:dyDescent="0.35">
      <c r="A13" s="13">
        <f>A12+1</f>
        <v>6</v>
      </c>
      <c r="B13" s="12" t="s">
        <v>13</v>
      </c>
      <c r="C13" s="32" t="s">
        <v>14</v>
      </c>
      <c r="D13" s="29">
        <v>12925.5</v>
      </c>
      <c r="E13" s="30"/>
      <c r="F13" s="25">
        <v>12925.5</v>
      </c>
      <c r="G13" s="31"/>
      <c r="H13" s="33"/>
    </row>
    <row r="14" spans="1:8" x14ac:dyDescent="0.35">
      <c r="A14" s="13"/>
      <c r="B14" s="12"/>
      <c r="C14" s="32" t="s">
        <v>15</v>
      </c>
      <c r="D14" s="29">
        <v>185562.09</v>
      </c>
      <c r="E14" s="34" t="s">
        <v>16</v>
      </c>
      <c r="F14" s="29">
        <v>185562.09</v>
      </c>
      <c r="G14" s="31"/>
      <c r="H14" s="33"/>
    </row>
    <row r="15" spans="1:8" x14ac:dyDescent="0.35">
      <c r="A15" s="13"/>
      <c r="B15" s="12"/>
      <c r="D15" s="35"/>
      <c r="E15" s="30"/>
      <c r="F15" s="31"/>
      <c r="G15" s="31"/>
      <c r="H15" s="36"/>
    </row>
    <row r="16" spans="1:8" x14ac:dyDescent="0.35">
      <c r="A16" s="13">
        <v>7</v>
      </c>
      <c r="B16" s="12" t="s">
        <v>17</v>
      </c>
      <c r="C16" s="12"/>
      <c r="D16" s="37">
        <f>D11+D12+D13+D14</f>
        <v>679021.44</v>
      </c>
      <c r="E16" s="15"/>
      <c r="F16" s="14">
        <f>F11+F12+F13+F14</f>
        <v>679021.44</v>
      </c>
      <c r="G16" s="15"/>
      <c r="H16" s="28"/>
    </row>
    <row r="17" spans="1:9" x14ac:dyDescent="0.35">
      <c r="D17" s="38"/>
      <c r="H17" s="28"/>
    </row>
    <row r="18" spans="1:9" x14ac:dyDescent="0.35">
      <c r="A18" s="13">
        <f>A16+1</f>
        <v>8</v>
      </c>
      <c r="B18" s="12" t="s">
        <v>18</v>
      </c>
      <c r="C18" s="12"/>
      <c r="D18" s="37">
        <f>D19+D20+D21+D22</f>
        <v>2431807.65</v>
      </c>
      <c r="E18" s="31"/>
      <c r="F18" s="37">
        <f>F19+F20+F21+F22</f>
        <v>2429671.09</v>
      </c>
      <c r="G18" s="31"/>
      <c r="H18" s="39"/>
    </row>
    <row r="19" spans="1:9" x14ac:dyDescent="0.35">
      <c r="A19" s="13"/>
      <c r="B19" s="12"/>
      <c r="C19" s="12" t="s">
        <v>19</v>
      </c>
      <c r="D19" s="29">
        <f>870894.75-23267</f>
        <v>847627.75</v>
      </c>
      <c r="E19" s="31"/>
      <c r="F19" s="29">
        <v>847627.75</v>
      </c>
      <c r="G19" s="31"/>
      <c r="H19" s="39"/>
      <c r="I19" s="39"/>
    </row>
    <row r="20" spans="1:9" x14ac:dyDescent="0.35">
      <c r="A20" s="13"/>
      <c r="B20" s="12"/>
      <c r="C20" s="12" t="s">
        <v>20</v>
      </c>
      <c r="D20" s="29">
        <v>13547</v>
      </c>
      <c r="E20" s="31" t="s">
        <v>21</v>
      </c>
      <c r="F20" s="29">
        <v>14890.3</v>
      </c>
      <c r="G20" s="31" t="s">
        <v>22</v>
      </c>
    </row>
    <row r="21" spans="1:9" x14ac:dyDescent="0.35">
      <c r="A21" s="13"/>
      <c r="B21" s="12"/>
      <c r="C21" s="12" t="s">
        <v>23</v>
      </c>
      <c r="D21" s="29">
        <v>0</v>
      </c>
      <c r="E21" s="31"/>
      <c r="F21" s="29">
        <v>0</v>
      </c>
      <c r="G21" s="31"/>
    </row>
    <row r="22" spans="1:9" x14ac:dyDescent="0.35">
      <c r="A22" s="13"/>
      <c r="B22" s="12"/>
      <c r="C22" s="12" t="s">
        <v>24</v>
      </c>
      <c r="D22" s="29">
        <v>1570632.9</v>
      </c>
      <c r="E22" s="31"/>
      <c r="F22" s="29">
        <v>1567153.04</v>
      </c>
      <c r="G22" s="31"/>
    </row>
    <row r="23" spans="1:9" x14ac:dyDescent="0.35">
      <c r="A23" s="13"/>
      <c r="B23" s="12"/>
      <c r="C23" s="12"/>
      <c r="D23" s="29"/>
      <c r="E23" s="31"/>
      <c r="F23" s="29"/>
      <c r="G23" s="31"/>
    </row>
    <row r="24" spans="1:9" x14ac:dyDescent="0.35">
      <c r="A24" s="13">
        <v>9</v>
      </c>
      <c r="B24" s="12" t="s">
        <v>25</v>
      </c>
      <c r="C24" s="12"/>
      <c r="D24" s="28">
        <f>IF((D16/D18)&gt;=0.02,0.02*D18,D16)</f>
        <v>48636.152999999998</v>
      </c>
      <c r="E24" s="40"/>
      <c r="F24" s="28">
        <f>IF((F16/F18)&gt;=0.02,0.02*F18,F16)</f>
        <v>48593.421799999996</v>
      </c>
      <c r="G24" s="40"/>
      <c r="H24" s="12"/>
    </row>
    <row r="25" spans="1:9" x14ac:dyDescent="0.35">
      <c r="A25" s="13"/>
      <c r="B25" s="12"/>
      <c r="C25" s="12"/>
      <c r="D25" s="40"/>
      <c r="E25" s="40"/>
      <c r="F25" s="40"/>
      <c r="G25" s="40"/>
      <c r="H25" s="12"/>
    </row>
    <row r="26" spans="1:9" x14ac:dyDescent="0.35">
      <c r="A26" s="13">
        <f>A24+1</f>
        <v>10</v>
      </c>
      <c r="B26" s="12" t="s">
        <v>26</v>
      </c>
      <c r="C26" s="12"/>
      <c r="D26" s="41">
        <f>(D11+D12+D13+D14)/D18</f>
        <v>0.27922497899864734</v>
      </c>
      <c r="E26" s="41"/>
      <c r="F26" s="41">
        <f>(F11+F12+F13+F14)/F18</f>
        <v>0.27947051878532247</v>
      </c>
      <c r="G26" s="41"/>
      <c r="H26" s="12"/>
    </row>
    <row r="27" spans="1:9" x14ac:dyDescent="0.35">
      <c r="B27" s="12"/>
      <c r="C27" s="12"/>
      <c r="D27" s="41"/>
      <c r="E27" s="41"/>
      <c r="F27" s="41"/>
      <c r="G27" s="41"/>
      <c r="H27" s="12"/>
    </row>
    <row r="28" spans="1:9" x14ac:dyDescent="0.35">
      <c r="B28" s="12"/>
      <c r="C28" s="12"/>
      <c r="D28" s="41"/>
      <c r="E28" s="41"/>
      <c r="F28" s="41"/>
      <c r="G28" s="41"/>
      <c r="H28" s="12"/>
    </row>
    <row r="29" spans="1:9" x14ac:dyDescent="0.35">
      <c r="A29" s="197" t="s">
        <v>27</v>
      </c>
      <c r="B29" s="197"/>
      <c r="C29" s="42"/>
    </row>
    <row r="30" spans="1:9" ht="15.75" customHeight="1" x14ac:dyDescent="0.35">
      <c r="A30" s="43" t="s">
        <v>28</v>
      </c>
      <c r="B30" s="44"/>
      <c r="C30" s="44"/>
      <c r="D30" s="45" t="s">
        <v>29</v>
      </c>
    </row>
    <row r="31" spans="1:9" ht="15.75" customHeight="1" x14ac:dyDescent="0.35">
      <c r="A31" s="43" t="s">
        <v>30</v>
      </c>
      <c r="B31" s="43"/>
      <c r="C31" s="44"/>
    </row>
    <row r="32" spans="1:9" ht="15" customHeight="1" x14ac:dyDescent="0.35">
      <c r="A32" s="43" t="s">
        <v>31</v>
      </c>
      <c r="B32" s="43"/>
      <c r="C32" s="44"/>
    </row>
    <row r="33" spans="1:3" ht="15.75" customHeight="1" x14ac:dyDescent="0.35">
      <c r="A33" s="43" t="s">
        <v>32</v>
      </c>
      <c r="B33" s="43"/>
      <c r="C33" s="44"/>
    </row>
    <row r="34" spans="1:3" ht="15.75" customHeight="1" x14ac:dyDescent="0.35">
      <c r="A34" s="43" t="s">
        <v>33</v>
      </c>
      <c r="B34" s="43"/>
      <c r="C34" s="44"/>
    </row>
    <row r="35" spans="1:3" ht="15.75" customHeight="1" x14ac:dyDescent="0.35">
      <c r="A35" s="43" t="s">
        <v>34</v>
      </c>
      <c r="B35" s="43"/>
      <c r="C35" s="44"/>
    </row>
    <row r="36" spans="1:3" ht="15.75" customHeight="1" x14ac:dyDescent="0.35">
      <c r="A36" s="43" t="s">
        <v>35</v>
      </c>
      <c r="B36" s="43"/>
      <c r="C36" s="44"/>
    </row>
    <row r="37" spans="1:3" ht="15.75" customHeight="1" x14ac:dyDescent="0.35">
      <c r="A37" s="43" t="s">
        <v>36</v>
      </c>
      <c r="B37" s="43"/>
      <c r="C37" s="44"/>
    </row>
    <row r="39" spans="1:3" x14ac:dyDescent="0.35">
      <c r="A39" s="46" t="s">
        <v>37</v>
      </c>
    </row>
    <row r="41" spans="1:3" x14ac:dyDescent="0.35">
      <c r="A41" s="47"/>
    </row>
    <row r="42" spans="1:3" x14ac:dyDescent="0.35">
      <c r="A42" s="47"/>
    </row>
    <row r="43" spans="1:3" x14ac:dyDescent="0.35">
      <c r="A43" s="47"/>
    </row>
  </sheetData>
  <mergeCells count="1">
    <mergeCell ref="A29:B29"/>
  </mergeCells>
  <pageMargins left="0.25" right="0.25" top="0.75" bottom="0.75" header="0.3" footer="0.3"/>
  <pageSetup scale="86" orientation="portrait" r:id="rId1"/>
  <headerFooter>
    <oddHeader xml:space="preserve">&amp;RKY PSC CN 2020-00378  
 Staff's Data Request Set 1 No. 5 Attachment D 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Layout" zoomScaleNormal="100" workbookViewId="0">
      <selection activeCell="L3" sqref="L3"/>
    </sheetView>
  </sheetViews>
  <sheetFormatPr defaultRowHeight="14.5" x14ac:dyDescent="0.35"/>
  <cols>
    <col min="1" max="1" width="15.26953125" customWidth="1"/>
    <col min="2" max="2" width="14.81640625" style="48" customWidth="1"/>
    <col min="3" max="3" width="9.26953125" style="48" customWidth="1"/>
    <col min="4" max="4" width="9.81640625" style="48" customWidth="1"/>
    <col min="5" max="5" width="7.81640625" style="48" customWidth="1"/>
    <col min="6" max="6" width="9.7265625" style="48" customWidth="1"/>
    <col min="7" max="7" width="10" style="49" customWidth="1"/>
    <col min="8" max="8" width="23.54296875" customWidth="1"/>
    <col min="9" max="9" width="1.453125" customWidth="1"/>
    <col min="10" max="10" width="15.26953125" style="50" customWidth="1"/>
    <col min="11" max="11" width="4.1796875" style="50" bestFit="1" customWidth="1"/>
    <col min="12" max="12" width="22.453125" customWidth="1"/>
    <col min="14" max="14" width="16" customWidth="1"/>
    <col min="15" max="15" width="12.81640625" customWidth="1"/>
    <col min="16" max="16" width="11.81640625" bestFit="1" customWidth="1"/>
  </cols>
  <sheetData>
    <row r="1" spans="1:14" ht="18.5" x14ac:dyDescent="0.45">
      <c r="A1" s="1" t="s">
        <v>38</v>
      </c>
    </row>
    <row r="2" spans="1:14" ht="18.5" x14ac:dyDescent="0.45">
      <c r="A2" s="1"/>
    </row>
    <row r="3" spans="1:14" ht="18.5" x14ac:dyDescent="0.45">
      <c r="A3" s="1" t="s">
        <v>39</v>
      </c>
      <c r="B3" s="51">
        <f>'October 20 TCPS CALC'!C3</f>
        <v>44105</v>
      </c>
      <c r="C3" s="52"/>
    </row>
    <row r="5" spans="1:14" x14ac:dyDescent="0.35">
      <c r="D5" s="53" t="s">
        <v>40</v>
      </c>
      <c r="E5" s="53" t="s">
        <v>41</v>
      </c>
    </row>
    <row r="6" spans="1:14" x14ac:dyDescent="0.35">
      <c r="C6" s="54" t="s">
        <v>42</v>
      </c>
      <c r="D6" s="54" t="s">
        <v>43</v>
      </c>
      <c r="E6" s="54" t="s">
        <v>44</v>
      </c>
      <c r="F6" s="54" t="s">
        <v>45</v>
      </c>
      <c r="G6" s="55" t="s">
        <v>46</v>
      </c>
      <c r="H6" s="54" t="s">
        <v>47</v>
      </c>
      <c r="J6" s="56" t="s">
        <v>48</v>
      </c>
      <c r="K6" s="56"/>
      <c r="L6" s="56" t="s">
        <v>49</v>
      </c>
    </row>
    <row r="7" spans="1:14" x14ac:dyDescent="0.35">
      <c r="A7" t="s">
        <v>50</v>
      </c>
      <c r="B7" s="48" t="s">
        <v>51</v>
      </c>
      <c r="C7" s="48" t="s">
        <v>52</v>
      </c>
      <c r="D7" s="48">
        <v>352234</v>
      </c>
      <c r="E7" s="48" t="s">
        <v>53</v>
      </c>
      <c r="F7" s="57">
        <v>16000</v>
      </c>
      <c r="G7" s="58">
        <v>4.5805999999999996</v>
      </c>
      <c r="H7" s="59" t="s">
        <v>54</v>
      </c>
      <c r="J7" s="50">
        <f>F7*G7</f>
        <v>73289.599999999991</v>
      </c>
      <c r="K7" s="60"/>
      <c r="L7" s="50">
        <v>73289.600000000006</v>
      </c>
      <c r="M7" s="61"/>
      <c r="N7" s="50"/>
    </row>
    <row r="8" spans="1:14" x14ac:dyDescent="0.35">
      <c r="C8" s="48" t="s">
        <v>55</v>
      </c>
      <c r="D8" s="48">
        <v>80160</v>
      </c>
      <c r="E8" s="48" t="s">
        <v>56</v>
      </c>
      <c r="F8" s="57">
        <v>209880</v>
      </c>
      <c r="G8" s="58">
        <v>4.8558000000000003</v>
      </c>
      <c r="H8" s="59" t="s">
        <v>54</v>
      </c>
      <c r="J8" s="62">
        <f>F8*G8</f>
        <v>1019135.3040000001</v>
      </c>
      <c r="K8" s="63"/>
      <c r="L8" s="62">
        <f>F8*G8</f>
        <v>1019135.3040000001</v>
      </c>
      <c r="N8" s="50"/>
    </row>
    <row r="9" spans="1:14" x14ac:dyDescent="0.35">
      <c r="F9" s="57"/>
      <c r="G9" s="58"/>
      <c r="H9" s="64" t="s">
        <v>57</v>
      </c>
      <c r="I9" s="65"/>
      <c r="J9" s="66">
        <f>SUM(J7:J8)</f>
        <v>1092424.9040000001</v>
      </c>
      <c r="K9" s="67"/>
      <c r="L9" s="66">
        <f>SUM(L7:L8)</f>
        <v>1092424.9040000001</v>
      </c>
    </row>
    <row r="10" spans="1:14" x14ac:dyDescent="0.35">
      <c r="D10" s="48">
        <v>0</v>
      </c>
      <c r="F10" s="57"/>
      <c r="G10" s="58"/>
      <c r="H10" s="59"/>
      <c r="K10" s="68"/>
      <c r="L10" s="50"/>
    </row>
    <row r="11" spans="1:14" x14ac:dyDescent="0.35">
      <c r="D11" s="48">
        <v>0</v>
      </c>
      <c r="F11" s="69"/>
      <c r="G11" s="70" t="s">
        <v>58</v>
      </c>
      <c r="H11" s="59"/>
      <c r="K11" s="68"/>
      <c r="L11" s="50"/>
    </row>
    <row r="12" spans="1:14" x14ac:dyDescent="0.35">
      <c r="A12" t="s">
        <v>59</v>
      </c>
      <c r="B12" s="48" t="s">
        <v>60</v>
      </c>
      <c r="C12" s="48" t="s">
        <v>52</v>
      </c>
      <c r="D12" s="48">
        <v>352234</v>
      </c>
      <c r="E12" s="48" t="s">
        <v>53</v>
      </c>
      <c r="F12" s="57">
        <v>16000</v>
      </c>
      <c r="G12" s="58">
        <v>4.5805999999999996</v>
      </c>
      <c r="H12" s="59" t="s">
        <v>61</v>
      </c>
      <c r="J12" s="50">
        <f>F12*G12</f>
        <v>73289.599999999991</v>
      </c>
      <c r="K12" s="60"/>
      <c r="L12" s="71">
        <v>73289.600000000006</v>
      </c>
      <c r="N12" s="50"/>
    </row>
    <row r="13" spans="1:14" x14ac:dyDescent="0.35">
      <c r="C13" s="48" t="s">
        <v>55</v>
      </c>
      <c r="D13" s="48">
        <v>80160</v>
      </c>
      <c r="E13" s="48" t="s">
        <v>56</v>
      </c>
      <c r="F13" s="57">
        <v>209880</v>
      </c>
      <c r="G13" s="58">
        <v>4.1849999999999996</v>
      </c>
      <c r="H13" s="59" t="s">
        <v>61</v>
      </c>
      <c r="J13" s="62">
        <f>F13*G13</f>
        <v>878347.79999999993</v>
      </c>
      <c r="K13" s="63"/>
      <c r="L13" s="71">
        <v>878347.8</v>
      </c>
      <c r="N13" s="50"/>
    </row>
    <row r="14" spans="1:14" x14ac:dyDescent="0.35">
      <c r="F14" s="57"/>
      <c r="G14" s="58"/>
      <c r="H14" s="72" t="s">
        <v>62</v>
      </c>
      <c r="I14" s="73"/>
      <c r="J14" s="66">
        <f>SUM(J12:J13)</f>
        <v>951637.39999999991</v>
      </c>
      <c r="K14" s="74"/>
      <c r="L14" s="75">
        <f>SUM(L12:L13)</f>
        <v>951637.4</v>
      </c>
      <c r="N14" s="50"/>
    </row>
    <row r="15" spans="1:14" x14ac:dyDescent="0.35">
      <c r="A15" s="76"/>
      <c r="C15" s="53"/>
      <c r="D15" s="53"/>
      <c r="E15" s="53"/>
      <c r="F15" s="77"/>
      <c r="G15" s="78"/>
      <c r="H15" s="79"/>
      <c r="I15" s="80"/>
      <c r="J15" s="81"/>
      <c r="K15" s="62"/>
      <c r="L15" s="81"/>
      <c r="N15" s="50"/>
    </row>
    <row r="16" spans="1:14" x14ac:dyDescent="0.35">
      <c r="F16" s="198" t="s">
        <v>63</v>
      </c>
      <c r="G16" s="198"/>
      <c r="H16" s="198"/>
      <c r="J16" s="82">
        <f>J9-J14</f>
        <v>140787.50400000019</v>
      </c>
      <c r="K16" s="82"/>
      <c r="L16" s="82">
        <f>L9-L14</f>
        <v>140787.50400000007</v>
      </c>
    </row>
    <row r="17" spans="1:16" x14ac:dyDescent="0.35">
      <c r="H17" s="59"/>
      <c r="L17" s="50"/>
    </row>
    <row r="18" spans="1:16" x14ac:dyDescent="0.35">
      <c r="A18" s="80" t="s">
        <v>64</v>
      </c>
      <c r="C18" s="53" t="s">
        <v>55</v>
      </c>
      <c r="D18" s="53" t="s">
        <v>56</v>
      </c>
      <c r="F18" s="57">
        <v>20000</v>
      </c>
      <c r="G18" s="58">
        <v>1.3980999999999999</v>
      </c>
      <c r="H18" s="59"/>
      <c r="J18" s="62">
        <v>27962</v>
      </c>
      <c r="L18" s="62">
        <v>27962</v>
      </c>
    </row>
    <row r="19" spans="1:16" x14ac:dyDescent="0.35">
      <c r="A19" s="80" t="s">
        <v>64</v>
      </c>
      <c r="C19" s="53" t="s">
        <v>55</v>
      </c>
      <c r="D19" s="53" t="s">
        <v>56</v>
      </c>
      <c r="F19" s="57">
        <v>10000</v>
      </c>
      <c r="G19" s="58">
        <v>1.4259999999999999</v>
      </c>
      <c r="H19" s="59"/>
      <c r="J19" s="62">
        <v>14260</v>
      </c>
      <c r="L19" s="62">
        <v>14260</v>
      </c>
    </row>
    <row r="20" spans="1:16" x14ac:dyDescent="0.35">
      <c r="A20" s="80" t="s">
        <v>64</v>
      </c>
      <c r="C20" s="53" t="s">
        <v>55</v>
      </c>
      <c r="D20" s="53" t="s">
        <v>56</v>
      </c>
      <c r="F20" s="57">
        <v>5000</v>
      </c>
      <c r="G20" s="58">
        <v>1.55</v>
      </c>
      <c r="H20" s="59"/>
      <c r="J20" s="62">
        <v>7750</v>
      </c>
      <c r="L20" s="62">
        <v>7750</v>
      </c>
    </row>
    <row r="21" spans="1:16" x14ac:dyDescent="0.35">
      <c r="A21" s="80" t="s">
        <v>64</v>
      </c>
      <c r="C21" s="53" t="s">
        <v>55</v>
      </c>
      <c r="D21" s="53" t="s">
        <v>56</v>
      </c>
      <c r="F21" s="57">
        <v>50000</v>
      </c>
      <c r="G21" s="58">
        <v>2.5575000000000001</v>
      </c>
      <c r="H21" s="59"/>
      <c r="J21" s="62">
        <v>127875</v>
      </c>
      <c r="L21" s="62">
        <v>127875</v>
      </c>
    </row>
    <row r="22" spans="1:16" x14ac:dyDescent="0.35">
      <c r="H22" s="59"/>
      <c r="L22" s="50"/>
    </row>
    <row r="23" spans="1:16" x14ac:dyDescent="0.35">
      <c r="F23" s="198" t="s">
        <v>68</v>
      </c>
      <c r="G23" s="198"/>
      <c r="H23" s="198"/>
      <c r="J23" s="82">
        <f>SUM(J18:J22)</f>
        <v>177847</v>
      </c>
      <c r="L23" s="82">
        <f>SUM(L18:L22)</f>
        <v>177847</v>
      </c>
    </row>
    <row r="24" spans="1:16" x14ac:dyDescent="0.35">
      <c r="H24" s="59"/>
      <c r="L24" s="50"/>
    </row>
    <row r="25" spans="1:16" x14ac:dyDescent="0.35">
      <c r="H25" s="79" t="s">
        <v>69</v>
      </c>
      <c r="J25" s="83">
        <f>J16+J23</f>
        <v>318634.50400000019</v>
      </c>
      <c r="K25" s="84"/>
      <c r="L25" s="83">
        <f>L16+L23</f>
        <v>318634.50400000007</v>
      </c>
      <c r="N25" s="50"/>
      <c r="O25" s="50"/>
      <c r="P25" s="50"/>
    </row>
    <row r="27" spans="1:16" x14ac:dyDescent="0.35">
      <c r="A27" s="199" t="s">
        <v>70</v>
      </c>
      <c r="B27" s="200"/>
      <c r="C27" s="200"/>
      <c r="D27" s="200"/>
      <c r="E27" s="200"/>
      <c r="F27" s="200"/>
      <c r="G27" s="201"/>
    </row>
    <row r="28" spans="1:16" x14ac:dyDescent="0.35">
      <c r="A28" s="85"/>
      <c r="B28" s="86">
        <f>B3</f>
        <v>44105</v>
      </c>
      <c r="C28" s="87" t="s">
        <v>71</v>
      </c>
      <c r="D28" s="88" t="s">
        <v>72</v>
      </c>
      <c r="E28" s="88"/>
      <c r="F28" s="88"/>
      <c r="G28" s="89"/>
    </row>
    <row r="29" spans="1:16" x14ac:dyDescent="0.35">
      <c r="A29" s="90"/>
      <c r="B29" s="91" t="s">
        <v>73</v>
      </c>
      <c r="C29" s="88" t="s">
        <v>74</v>
      </c>
      <c r="D29" s="88" t="s">
        <v>75</v>
      </c>
      <c r="E29" s="202" t="s">
        <v>76</v>
      </c>
      <c r="F29" s="202"/>
      <c r="G29" s="89"/>
    </row>
    <row r="30" spans="1:16" x14ac:dyDescent="0.35">
      <c r="A30" s="92" t="s">
        <v>77</v>
      </c>
      <c r="B30" s="93">
        <v>6.891</v>
      </c>
      <c r="C30" s="94">
        <v>5.9390000000000001</v>
      </c>
      <c r="D30" s="95">
        <f>(B30/C30)-1</f>
        <v>0.16029634618622657</v>
      </c>
      <c r="E30" s="203">
        <f>(4.185*(D30+1))</f>
        <v>4.855840208789358</v>
      </c>
      <c r="F30" s="204"/>
      <c r="G30" s="89"/>
    </row>
    <row r="31" spans="1:16" x14ac:dyDescent="0.35">
      <c r="A31" s="92"/>
      <c r="B31" s="88"/>
      <c r="C31" s="88"/>
      <c r="D31" s="88"/>
      <c r="E31" s="88"/>
      <c r="F31" s="88"/>
      <c r="G31" s="89"/>
    </row>
    <row r="32" spans="1:16" x14ac:dyDescent="0.35">
      <c r="A32" s="96" t="s">
        <v>78</v>
      </c>
      <c r="B32" s="97"/>
      <c r="C32" s="97"/>
      <c r="D32" s="97"/>
      <c r="E32" s="97"/>
      <c r="F32" s="97"/>
      <c r="G32" s="98"/>
    </row>
    <row r="34" spans="1:7" x14ac:dyDescent="0.35">
      <c r="A34" s="80" t="s">
        <v>79</v>
      </c>
      <c r="B34" s="99" t="s">
        <v>80</v>
      </c>
      <c r="C34" s="99"/>
      <c r="D34" s="99"/>
      <c r="E34" s="99"/>
      <c r="F34" s="99"/>
      <c r="G34" s="100"/>
    </row>
    <row r="35" spans="1:7" x14ac:dyDescent="0.35">
      <c r="A35" s="80"/>
      <c r="B35" s="99"/>
      <c r="C35" s="99"/>
      <c r="D35" s="99"/>
      <c r="E35" s="99"/>
      <c r="F35" s="99"/>
      <c r="G35" s="100"/>
    </row>
    <row r="36" spans="1:7" x14ac:dyDescent="0.35">
      <c r="A36" s="80" t="s">
        <v>81</v>
      </c>
      <c r="B36" s="99" t="s">
        <v>82</v>
      </c>
      <c r="C36" s="99"/>
      <c r="D36" s="99"/>
      <c r="E36" s="99"/>
      <c r="F36" s="99"/>
      <c r="G36" s="100"/>
    </row>
    <row r="37" spans="1:7" x14ac:dyDescent="0.35">
      <c r="A37" s="80"/>
      <c r="B37" s="99"/>
      <c r="C37" s="99"/>
      <c r="D37" s="99"/>
      <c r="E37" s="99"/>
      <c r="F37" s="99"/>
      <c r="G37" s="100"/>
    </row>
    <row r="38" spans="1:7" x14ac:dyDescent="0.35">
      <c r="A38" s="80" t="s">
        <v>83</v>
      </c>
      <c r="B38" s="99" t="s">
        <v>84</v>
      </c>
      <c r="C38" s="99"/>
      <c r="D38" s="99"/>
      <c r="E38" s="99"/>
      <c r="F38" s="99"/>
      <c r="G38" s="100"/>
    </row>
    <row r="39" spans="1:7" x14ac:dyDescent="0.35">
      <c r="A39" s="80"/>
    </row>
  </sheetData>
  <mergeCells count="5">
    <mergeCell ref="F16:H16"/>
    <mergeCell ref="F23:H23"/>
    <mergeCell ref="A27:G27"/>
    <mergeCell ref="E29:F29"/>
    <mergeCell ref="E30:F30"/>
  </mergeCells>
  <pageMargins left="0.17" right="0.17" top="0.66" bottom="0.55000000000000004" header="0.24" footer="0.33"/>
  <pageSetup scale="72" fitToHeight="0" orientation="portrait" r:id="rId1"/>
  <headerFooter>
    <oddHeader xml:space="preserve">&amp;RKY PSC CN 2020-00378  
 Staff's Data Request Set 1 No. 5 Attachment D 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view="pageLayout" zoomScaleNormal="100" workbookViewId="0">
      <selection activeCell="L3" sqref="L3"/>
    </sheetView>
  </sheetViews>
  <sheetFormatPr defaultColWidth="9.1796875" defaultRowHeight="12.5" x14ac:dyDescent="0.25"/>
  <cols>
    <col min="1" max="1" width="9.1796875" style="109" customWidth="1"/>
    <col min="2" max="2" width="10.1796875" style="103" customWidth="1"/>
    <col min="3" max="3" width="11.1796875" style="103" customWidth="1"/>
    <col min="4" max="4" width="9.26953125" style="103" customWidth="1"/>
    <col min="5" max="5" width="10.81640625" style="103" customWidth="1"/>
    <col min="6" max="6" width="13.26953125" style="103" customWidth="1"/>
    <col min="7" max="7" width="13" style="103" customWidth="1"/>
    <col min="8" max="8" width="10.1796875" style="103" customWidth="1"/>
    <col min="9" max="9" width="14.54296875" style="103" customWidth="1"/>
    <col min="10" max="13" width="10.1796875" style="103" customWidth="1"/>
    <col min="14" max="14" width="8.453125" style="103" hidden="1" customWidth="1"/>
    <col min="15" max="15" width="1.453125" style="104" customWidth="1"/>
    <col min="16" max="16" width="11" style="104" hidden="1" customWidth="1"/>
    <col min="17" max="17" width="11.453125" style="104" customWidth="1"/>
    <col min="18" max="16384" width="9.1796875" style="104"/>
  </cols>
  <sheetData>
    <row r="1" spans="1:16" ht="18" x14ac:dyDescent="0.4">
      <c r="A1" s="101" t="s">
        <v>85</v>
      </c>
      <c r="B1" s="102"/>
      <c r="C1" s="102"/>
      <c r="D1" s="102"/>
    </row>
    <row r="2" spans="1:16" ht="18" x14ac:dyDescent="0.4">
      <c r="A2" s="101"/>
      <c r="B2" s="102"/>
      <c r="C2" s="102"/>
      <c r="D2" s="102"/>
    </row>
    <row r="3" spans="1:16" ht="18" x14ac:dyDescent="0.4">
      <c r="A3" s="101" t="s">
        <v>86</v>
      </c>
      <c r="B3" s="105"/>
      <c r="C3" s="106">
        <f>'October 20 TCPS CALC'!C3</f>
        <v>44105</v>
      </c>
      <c r="E3" s="107"/>
      <c r="F3" s="107"/>
      <c r="G3" s="107"/>
      <c r="H3" s="107"/>
      <c r="I3" s="107"/>
      <c r="J3" s="107"/>
      <c r="K3" s="107"/>
      <c r="L3" s="107"/>
      <c r="M3" s="108"/>
    </row>
    <row r="5" spans="1:16" ht="13" thickBot="1" x14ac:dyDescent="0.3"/>
    <row r="6" spans="1:16" ht="13" x14ac:dyDescent="0.3">
      <c r="H6" s="206" t="s">
        <v>87</v>
      </c>
      <c r="I6" s="207"/>
      <c r="J6" s="207"/>
      <c r="K6" s="208" t="s">
        <v>88</v>
      </c>
      <c r="L6" s="209"/>
      <c r="M6" s="210"/>
      <c r="P6" s="103" t="s">
        <v>89</v>
      </c>
    </row>
    <row r="7" spans="1:16" ht="13" x14ac:dyDescent="0.3">
      <c r="A7" s="110" t="s">
        <v>90</v>
      </c>
      <c r="B7" s="211" t="s">
        <v>91</v>
      </c>
      <c r="C7" s="212"/>
      <c r="D7" s="213"/>
      <c r="E7" s="214" t="s">
        <v>92</v>
      </c>
      <c r="F7" s="215"/>
      <c r="G7" s="216"/>
      <c r="H7" s="212" t="s">
        <v>93</v>
      </c>
      <c r="I7" s="212"/>
      <c r="J7" s="212"/>
      <c r="K7" s="217" t="s">
        <v>94</v>
      </c>
      <c r="L7" s="218"/>
      <c r="M7" s="219"/>
      <c r="P7" s="103" t="s">
        <v>95</v>
      </c>
    </row>
    <row r="8" spans="1:16" ht="13" x14ac:dyDescent="0.3">
      <c r="A8" s="111" t="s">
        <v>96</v>
      </c>
      <c r="B8" s="112" t="s">
        <v>97</v>
      </c>
      <c r="C8" s="113" t="s">
        <v>98</v>
      </c>
      <c r="D8" s="114" t="s">
        <v>99</v>
      </c>
      <c r="E8" s="115" t="s">
        <v>97</v>
      </c>
      <c r="F8" s="116" t="s">
        <v>98</v>
      </c>
      <c r="G8" s="117" t="s">
        <v>99</v>
      </c>
      <c r="H8" s="113" t="s">
        <v>97</v>
      </c>
      <c r="I8" s="113" t="s">
        <v>98</v>
      </c>
      <c r="J8" s="113" t="s">
        <v>99</v>
      </c>
      <c r="K8" s="118" t="s">
        <v>97</v>
      </c>
      <c r="L8" s="119" t="s">
        <v>98</v>
      </c>
      <c r="M8" s="120" t="s">
        <v>99</v>
      </c>
      <c r="N8" s="121" t="s">
        <v>96</v>
      </c>
      <c r="P8" s="122" t="s">
        <v>100</v>
      </c>
    </row>
    <row r="9" spans="1:16" ht="13" x14ac:dyDescent="0.3">
      <c r="A9" s="123"/>
      <c r="B9" s="124"/>
      <c r="C9" s="125"/>
      <c r="D9" s="126"/>
      <c r="E9" s="127"/>
      <c r="F9" s="128"/>
      <c r="G9" s="129"/>
      <c r="H9" s="130"/>
      <c r="I9" s="130" t="s">
        <v>101</v>
      </c>
      <c r="J9" s="131"/>
      <c r="K9" s="132"/>
      <c r="L9" s="133"/>
      <c r="M9" s="134"/>
    </row>
    <row r="10" spans="1:16" ht="13" x14ac:dyDescent="0.3">
      <c r="A10" s="109">
        <f>C3</f>
        <v>44105</v>
      </c>
      <c r="B10" s="135">
        <v>1.2</v>
      </c>
      <c r="C10" s="136">
        <v>1.75</v>
      </c>
      <c r="D10" s="137">
        <v>1.99</v>
      </c>
      <c r="E10" s="138">
        <v>1.1399999999999999</v>
      </c>
      <c r="F10" s="139">
        <v>1.2350000000000001</v>
      </c>
      <c r="G10" s="140">
        <v>1.34</v>
      </c>
      <c r="H10" s="135">
        <v>0.96</v>
      </c>
      <c r="I10" s="136">
        <v>1.1399999999999999</v>
      </c>
      <c r="J10" s="137">
        <v>1.25</v>
      </c>
      <c r="K10" s="141">
        <f t="shared" ref="K10:M37" si="0">AVERAGE(B10,E10,H10)</f>
        <v>1.0999999999999999</v>
      </c>
      <c r="L10" s="142">
        <f t="shared" si="0"/>
        <v>1.375</v>
      </c>
      <c r="M10" s="143">
        <f t="shared" si="0"/>
        <v>1.5266666666666666</v>
      </c>
      <c r="N10" s="109">
        <f t="shared" ref="N10:N40" si="1">A10</f>
        <v>44105</v>
      </c>
      <c r="P10" s="144">
        <f>H10-E10</f>
        <v>-0.17999999999999994</v>
      </c>
    </row>
    <row r="11" spans="1:16" x14ac:dyDescent="0.25">
      <c r="A11" s="109">
        <f>A10+1</f>
        <v>44106</v>
      </c>
      <c r="B11" s="145">
        <f t="shared" ref="B11:B40" si="2">$B$10</f>
        <v>1.2</v>
      </c>
      <c r="C11" s="146">
        <f>$C$10</f>
        <v>1.75</v>
      </c>
      <c r="D11" s="147">
        <f>$D$10</f>
        <v>1.99</v>
      </c>
      <c r="E11" s="138">
        <v>0.66500000000000004</v>
      </c>
      <c r="F11" s="139">
        <v>1.04</v>
      </c>
      <c r="G11" s="140">
        <v>1.17</v>
      </c>
      <c r="H11" s="148">
        <f t="shared" ref="H11:J14" si="3">H10</f>
        <v>0.96</v>
      </c>
      <c r="I11" s="148">
        <f t="shared" si="3"/>
        <v>1.1399999999999999</v>
      </c>
      <c r="J11" s="148">
        <f t="shared" si="3"/>
        <v>1.25</v>
      </c>
      <c r="K11" s="141">
        <f t="shared" si="0"/>
        <v>0.94166666666666676</v>
      </c>
      <c r="L11" s="142">
        <f t="shared" si="0"/>
        <v>1.3099999999999998</v>
      </c>
      <c r="M11" s="143">
        <f t="shared" si="0"/>
        <v>1.47</v>
      </c>
      <c r="N11" s="149">
        <f t="shared" si="1"/>
        <v>44106</v>
      </c>
      <c r="P11" s="144">
        <f t="shared" ref="P11:P40" si="4">H11-E11</f>
        <v>0.29499999999999993</v>
      </c>
    </row>
    <row r="12" spans="1:16" x14ac:dyDescent="0.25">
      <c r="A12" s="109">
        <f t="shared" ref="A12:A40" si="5">A11+1</f>
        <v>44107</v>
      </c>
      <c r="B12" s="145">
        <f t="shared" si="2"/>
        <v>1.2</v>
      </c>
      <c r="C12" s="146">
        <f t="shared" ref="C12:C40" si="6">$C$10</f>
        <v>1.75</v>
      </c>
      <c r="D12" s="147">
        <f t="shared" ref="D12:D40" si="7">$D$10</f>
        <v>1.99</v>
      </c>
      <c r="E12" s="138">
        <v>0.80500000000000005</v>
      </c>
      <c r="F12" s="139">
        <v>0.995</v>
      </c>
      <c r="G12" s="140">
        <v>1.075</v>
      </c>
      <c r="H12" s="148">
        <f t="shared" si="3"/>
        <v>0.96</v>
      </c>
      <c r="I12" s="148">
        <f t="shared" si="3"/>
        <v>1.1399999999999999</v>
      </c>
      <c r="J12" s="148">
        <f t="shared" si="3"/>
        <v>1.25</v>
      </c>
      <c r="K12" s="141">
        <f t="shared" si="0"/>
        <v>0.98833333333333329</v>
      </c>
      <c r="L12" s="142">
        <f t="shared" si="0"/>
        <v>1.2949999999999999</v>
      </c>
      <c r="M12" s="143">
        <f t="shared" si="0"/>
        <v>1.4383333333333332</v>
      </c>
      <c r="N12" s="109">
        <f t="shared" si="1"/>
        <v>44107</v>
      </c>
      <c r="P12" s="144">
        <f t="shared" si="4"/>
        <v>0.15499999999999992</v>
      </c>
    </row>
    <row r="13" spans="1:16" x14ac:dyDescent="0.25">
      <c r="A13" s="109">
        <f t="shared" si="5"/>
        <v>44108</v>
      </c>
      <c r="B13" s="145">
        <f t="shared" si="2"/>
        <v>1.2</v>
      </c>
      <c r="C13" s="146">
        <f t="shared" si="6"/>
        <v>1.75</v>
      </c>
      <c r="D13" s="147">
        <f t="shared" si="7"/>
        <v>1.99</v>
      </c>
      <c r="E13" s="138">
        <v>0.80500000000000005</v>
      </c>
      <c r="F13" s="139">
        <v>0.995</v>
      </c>
      <c r="G13" s="140">
        <v>1.075</v>
      </c>
      <c r="H13" s="148">
        <f t="shared" si="3"/>
        <v>0.96</v>
      </c>
      <c r="I13" s="148">
        <f t="shared" si="3"/>
        <v>1.1399999999999999</v>
      </c>
      <c r="J13" s="148">
        <f t="shared" si="3"/>
        <v>1.25</v>
      </c>
      <c r="K13" s="141">
        <f t="shared" si="0"/>
        <v>0.98833333333333329</v>
      </c>
      <c r="L13" s="142">
        <f t="shared" si="0"/>
        <v>1.2949999999999999</v>
      </c>
      <c r="M13" s="143">
        <f t="shared" si="0"/>
        <v>1.4383333333333332</v>
      </c>
      <c r="N13" s="109">
        <f t="shared" si="1"/>
        <v>44108</v>
      </c>
      <c r="P13" s="144">
        <f t="shared" si="4"/>
        <v>0.15499999999999992</v>
      </c>
    </row>
    <row r="14" spans="1:16" s="155" customFormat="1" x14ac:dyDescent="0.25">
      <c r="A14" s="150">
        <f t="shared" si="5"/>
        <v>44109</v>
      </c>
      <c r="B14" s="145">
        <f t="shared" si="2"/>
        <v>1.2</v>
      </c>
      <c r="C14" s="146">
        <f t="shared" si="6"/>
        <v>1.75</v>
      </c>
      <c r="D14" s="147">
        <f t="shared" si="7"/>
        <v>1.99</v>
      </c>
      <c r="E14" s="138">
        <v>0.80500000000000005</v>
      </c>
      <c r="F14" s="139">
        <v>0.995</v>
      </c>
      <c r="G14" s="140">
        <v>1.075</v>
      </c>
      <c r="H14" s="148">
        <f t="shared" si="3"/>
        <v>0.96</v>
      </c>
      <c r="I14" s="148">
        <f t="shared" si="3"/>
        <v>1.1399999999999999</v>
      </c>
      <c r="J14" s="148">
        <f t="shared" si="3"/>
        <v>1.25</v>
      </c>
      <c r="K14" s="151">
        <f t="shared" si="0"/>
        <v>0.98833333333333329</v>
      </c>
      <c r="L14" s="152">
        <f t="shared" si="0"/>
        <v>1.2949999999999999</v>
      </c>
      <c r="M14" s="153">
        <f t="shared" si="0"/>
        <v>1.4383333333333332</v>
      </c>
      <c r="N14" s="154">
        <f t="shared" si="1"/>
        <v>44109</v>
      </c>
      <c r="P14" s="156">
        <f t="shared" si="4"/>
        <v>0.15499999999999992</v>
      </c>
    </row>
    <row r="15" spans="1:16" s="155" customFormat="1" ht="13" x14ac:dyDescent="0.3">
      <c r="A15" s="150">
        <f t="shared" si="5"/>
        <v>44110</v>
      </c>
      <c r="B15" s="145">
        <f t="shared" si="2"/>
        <v>1.2</v>
      </c>
      <c r="C15" s="146">
        <f t="shared" si="6"/>
        <v>1.75</v>
      </c>
      <c r="D15" s="147">
        <f t="shared" si="7"/>
        <v>1.99</v>
      </c>
      <c r="E15" s="138">
        <v>1.37</v>
      </c>
      <c r="F15" s="139">
        <v>1.43</v>
      </c>
      <c r="G15" s="140">
        <v>1.59</v>
      </c>
      <c r="H15" s="158">
        <v>0.95</v>
      </c>
      <c r="I15" s="158">
        <v>1.24</v>
      </c>
      <c r="J15" s="158">
        <v>1.73</v>
      </c>
      <c r="K15" s="151">
        <f t="shared" si="0"/>
        <v>1.1733333333333336</v>
      </c>
      <c r="L15" s="152">
        <f t="shared" si="0"/>
        <v>1.4733333333333334</v>
      </c>
      <c r="M15" s="153">
        <f t="shared" si="0"/>
        <v>1.7700000000000002</v>
      </c>
      <c r="N15" s="154">
        <f t="shared" si="1"/>
        <v>44110</v>
      </c>
      <c r="P15" s="144">
        <f t="shared" si="4"/>
        <v>-0.42000000000000015</v>
      </c>
    </row>
    <row r="16" spans="1:16" s="155" customFormat="1" ht="13" x14ac:dyDescent="0.3">
      <c r="A16" s="150">
        <f t="shared" si="5"/>
        <v>44111</v>
      </c>
      <c r="B16" s="145">
        <f t="shared" si="2"/>
        <v>1.2</v>
      </c>
      <c r="C16" s="146">
        <f t="shared" si="6"/>
        <v>1.75</v>
      </c>
      <c r="D16" s="147">
        <f t="shared" si="7"/>
        <v>1.99</v>
      </c>
      <c r="E16" s="138">
        <v>1.375</v>
      </c>
      <c r="F16" s="139">
        <v>1.585</v>
      </c>
      <c r="G16" s="140">
        <v>1.82</v>
      </c>
      <c r="H16" s="148">
        <f t="shared" ref="H16:J21" si="8">H15</f>
        <v>0.95</v>
      </c>
      <c r="I16" s="148">
        <f t="shared" si="8"/>
        <v>1.24</v>
      </c>
      <c r="J16" s="148">
        <f t="shared" si="8"/>
        <v>1.73</v>
      </c>
      <c r="K16" s="151">
        <f t="shared" si="0"/>
        <v>1.175</v>
      </c>
      <c r="L16" s="152">
        <f t="shared" si="0"/>
        <v>1.5250000000000001</v>
      </c>
      <c r="M16" s="153">
        <f t="shared" si="0"/>
        <v>1.8466666666666667</v>
      </c>
      <c r="N16" s="157">
        <f t="shared" si="1"/>
        <v>44111</v>
      </c>
      <c r="P16" s="144">
        <f t="shared" si="4"/>
        <v>-0.42500000000000004</v>
      </c>
    </row>
    <row r="17" spans="1:16" s="155" customFormat="1" x14ac:dyDescent="0.25">
      <c r="A17" s="150">
        <f t="shared" si="5"/>
        <v>44112</v>
      </c>
      <c r="B17" s="145">
        <f t="shared" si="2"/>
        <v>1.2</v>
      </c>
      <c r="C17" s="146">
        <f t="shared" si="6"/>
        <v>1.75</v>
      </c>
      <c r="D17" s="147">
        <f t="shared" si="7"/>
        <v>1.99</v>
      </c>
      <c r="E17" s="138">
        <v>1.32</v>
      </c>
      <c r="F17" s="139">
        <v>1.48</v>
      </c>
      <c r="G17" s="140">
        <v>1.88</v>
      </c>
      <c r="H17" s="148">
        <f t="shared" si="8"/>
        <v>0.95</v>
      </c>
      <c r="I17" s="148">
        <f t="shared" si="8"/>
        <v>1.24</v>
      </c>
      <c r="J17" s="148">
        <f t="shared" si="8"/>
        <v>1.73</v>
      </c>
      <c r="K17" s="151">
        <f t="shared" si="0"/>
        <v>1.1566666666666665</v>
      </c>
      <c r="L17" s="152">
        <f t="shared" si="0"/>
        <v>1.49</v>
      </c>
      <c r="M17" s="153">
        <f t="shared" si="0"/>
        <v>1.8666666666666665</v>
      </c>
      <c r="N17" s="154">
        <f t="shared" si="1"/>
        <v>44112</v>
      </c>
      <c r="P17" s="144">
        <f t="shared" si="4"/>
        <v>-0.37000000000000011</v>
      </c>
    </row>
    <row r="18" spans="1:16" s="155" customFormat="1" x14ac:dyDescent="0.25">
      <c r="A18" s="150">
        <f t="shared" si="5"/>
        <v>44113</v>
      </c>
      <c r="B18" s="145">
        <f t="shared" si="2"/>
        <v>1.2</v>
      </c>
      <c r="C18" s="146">
        <f t="shared" si="6"/>
        <v>1.75</v>
      </c>
      <c r="D18" s="147">
        <f t="shared" si="7"/>
        <v>1.99</v>
      </c>
      <c r="E18" s="138">
        <v>0.6</v>
      </c>
      <c r="F18" s="139">
        <v>1.0149999999999999</v>
      </c>
      <c r="G18" s="140">
        <v>1.52</v>
      </c>
      <c r="H18" s="148">
        <f t="shared" si="8"/>
        <v>0.95</v>
      </c>
      <c r="I18" s="148">
        <f t="shared" si="8"/>
        <v>1.24</v>
      </c>
      <c r="J18" s="148">
        <f t="shared" si="8"/>
        <v>1.73</v>
      </c>
      <c r="K18" s="151">
        <f t="shared" si="0"/>
        <v>0.91666666666666663</v>
      </c>
      <c r="L18" s="152">
        <f t="shared" si="0"/>
        <v>1.335</v>
      </c>
      <c r="M18" s="153">
        <f t="shared" si="0"/>
        <v>1.7466666666666668</v>
      </c>
      <c r="N18" s="154">
        <f t="shared" si="1"/>
        <v>44113</v>
      </c>
      <c r="P18" s="144">
        <f t="shared" si="4"/>
        <v>0.35</v>
      </c>
    </row>
    <row r="19" spans="1:16" s="155" customFormat="1" ht="12" customHeight="1" x14ac:dyDescent="0.25">
      <c r="A19" s="150">
        <f t="shared" si="5"/>
        <v>44114</v>
      </c>
      <c r="B19" s="145">
        <f t="shared" si="2"/>
        <v>1.2</v>
      </c>
      <c r="C19" s="146">
        <f t="shared" si="6"/>
        <v>1.75</v>
      </c>
      <c r="D19" s="147">
        <f t="shared" si="7"/>
        <v>1.99</v>
      </c>
      <c r="E19" s="138">
        <v>0.56499999999999995</v>
      </c>
      <c r="F19" s="139">
        <v>0.9</v>
      </c>
      <c r="G19" s="140">
        <v>1.865</v>
      </c>
      <c r="H19" s="148">
        <f t="shared" si="8"/>
        <v>0.95</v>
      </c>
      <c r="I19" s="148">
        <f t="shared" si="8"/>
        <v>1.24</v>
      </c>
      <c r="J19" s="148">
        <f t="shared" si="8"/>
        <v>1.73</v>
      </c>
      <c r="K19" s="151">
        <f t="shared" si="0"/>
        <v>0.90499999999999992</v>
      </c>
      <c r="L19" s="152">
        <f t="shared" si="0"/>
        <v>1.2966666666666666</v>
      </c>
      <c r="M19" s="153">
        <f t="shared" si="0"/>
        <v>1.8616666666666666</v>
      </c>
      <c r="N19" s="154">
        <f t="shared" si="1"/>
        <v>44114</v>
      </c>
      <c r="P19" s="144">
        <f t="shared" si="4"/>
        <v>0.38500000000000001</v>
      </c>
    </row>
    <row r="20" spans="1:16" s="155" customFormat="1" x14ac:dyDescent="0.25">
      <c r="A20" s="150">
        <f t="shared" si="5"/>
        <v>44115</v>
      </c>
      <c r="B20" s="145">
        <f t="shared" si="2"/>
        <v>1.2</v>
      </c>
      <c r="C20" s="146">
        <f t="shared" si="6"/>
        <v>1.75</v>
      </c>
      <c r="D20" s="147">
        <f t="shared" si="7"/>
        <v>1.99</v>
      </c>
      <c r="E20" s="138">
        <v>0.56499999999999995</v>
      </c>
      <c r="F20" s="139">
        <v>0.9</v>
      </c>
      <c r="G20" s="140">
        <v>1.865</v>
      </c>
      <c r="H20" s="148">
        <f t="shared" si="8"/>
        <v>0.95</v>
      </c>
      <c r="I20" s="148">
        <f t="shared" si="8"/>
        <v>1.24</v>
      </c>
      <c r="J20" s="148">
        <f t="shared" si="8"/>
        <v>1.73</v>
      </c>
      <c r="K20" s="151">
        <f t="shared" si="0"/>
        <v>0.90499999999999992</v>
      </c>
      <c r="L20" s="152">
        <f t="shared" si="0"/>
        <v>1.2966666666666666</v>
      </c>
      <c r="M20" s="153">
        <f t="shared" si="0"/>
        <v>1.8616666666666666</v>
      </c>
      <c r="N20" s="154">
        <f t="shared" si="1"/>
        <v>44115</v>
      </c>
      <c r="P20" s="156">
        <f>H20-E20</f>
        <v>0.38500000000000001</v>
      </c>
    </row>
    <row r="21" spans="1:16" s="155" customFormat="1" x14ac:dyDescent="0.25">
      <c r="A21" s="150">
        <f t="shared" si="5"/>
        <v>44116</v>
      </c>
      <c r="B21" s="145">
        <f t="shared" si="2"/>
        <v>1.2</v>
      </c>
      <c r="C21" s="146">
        <f t="shared" si="6"/>
        <v>1.75</v>
      </c>
      <c r="D21" s="147">
        <f t="shared" si="7"/>
        <v>1.99</v>
      </c>
      <c r="E21" s="138">
        <v>0.56499999999999995</v>
      </c>
      <c r="F21" s="139">
        <v>0.9</v>
      </c>
      <c r="G21" s="140">
        <v>1.865</v>
      </c>
      <c r="H21" s="148">
        <f t="shared" si="8"/>
        <v>0.95</v>
      </c>
      <c r="I21" s="148">
        <f t="shared" si="8"/>
        <v>1.24</v>
      </c>
      <c r="J21" s="148">
        <f t="shared" si="8"/>
        <v>1.73</v>
      </c>
      <c r="K21" s="151">
        <f t="shared" si="0"/>
        <v>0.90499999999999992</v>
      </c>
      <c r="L21" s="152">
        <f t="shared" si="0"/>
        <v>1.2966666666666666</v>
      </c>
      <c r="M21" s="153">
        <f t="shared" si="0"/>
        <v>1.8616666666666666</v>
      </c>
      <c r="N21" s="154">
        <f t="shared" si="1"/>
        <v>44116</v>
      </c>
      <c r="P21" s="156">
        <f t="shared" si="4"/>
        <v>0.38500000000000001</v>
      </c>
    </row>
    <row r="22" spans="1:16" s="155" customFormat="1" ht="13" x14ac:dyDescent="0.3">
      <c r="A22" s="150">
        <f t="shared" si="5"/>
        <v>44117</v>
      </c>
      <c r="B22" s="145">
        <f t="shared" si="2"/>
        <v>1.2</v>
      </c>
      <c r="C22" s="146">
        <f t="shared" si="6"/>
        <v>1.75</v>
      </c>
      <c r="D22" s="147">
        <f t="shared" si="7"/>
        <v>1.99</v>
      </c>
      <c r="E22" s="138">
        <v>1.5349999999999999</v>
      </c>
      <c r="F22" s="139">
        <v>1.6850000000000001</v>
      </c>
      <c r="G22" s="140">
        <v>2.12</v>
      </c>
      <c r="H22" s="158">
        <v>1.79</v>
      </c>
      <c r="I22" s="158">
        <v>1.95</v>
      </c>
      <c r="J22" s="158">
        <v>2.1</v>
      </c>
      <c r="K22" s="151">
        <f t="shared" si="0"/>
        <v>1.5083333333333335</v>
      </c>
      <c r="L22" s="152">
        <f t="shared" si="0"/>
        <v>1.7949999999999999</v>
      </c>
      <c r="M22" s="153">
        <f t="shared" si="0"/>
        <v>2.0700000000000003</v>
      </c>
      <c r="N22" s="154">
        <f t="shared" si="1"/>
        <v>44117</v>
      </c>
      <c r="P22" s="144">
        <f t="shared" si="4"/>
        <v>0.25500000000000012</v>
      </c>
    </row>
    <row r="23" spans="1:16" s="155" customFormat="1" ht="13" x14ac:dyDescent="0.3">
      <c r="A23" s="150">
        <f t="shared" si="5"/>
        <v>44118</v>
      </c>
      <c r="B23" s="145">
        <f t="shared" si="2"/>
        <v>1.2</v>
      </c>
      <c r="C23" s="146">
        <f t="shared" si="6"/>
        <v>1.75</v>
      </c>
      <c r="D23" s="147">
        <f t="shared" si="7"/>
        <v>1.99</v>
      </c>
      <c r="E23" s="138">
        <v>1.77</v>
      </c>
      <c r="F23" s="139">
        <v>1.88</v>
      </c>
      <c r="G23" s="140">
        <v>2.0750000000000002</v>
      </c>
      <c r="H23" s="148">
        <f t="shared" ref="H23:J28" si="9">H22</f>
        <v>1.79</v>
      </c>
      <c r="I23" s="148">
        <f t="shared" si="9"/>
        <v>1.95</v>
      </c>
      <c r="J23" s="148">
        <f t="shared" si="9"/>
        <v>2.1</v>
      </c>
      <c r="K23" s="151">
        <f t="shared" si="0"/>
        <v>1.5866666666666667</v>
      </c>
      <c r="L23" s="152">
        <f t="shared" si="0"/>
        <v>1.86</v>
      </c>
      <c r="M23" s="153">
        <f t="shared" si="0"/>
        <v>2.0550000000000002</v>
      </c>
      <c r="N23" s="157">
        <f t="shared" si="1"/>
        <v>44118</v>
      </c>
      <c r="P23" s="144">
        <f t="shared" si="4"/>
        <v>2.0000000000000018E-2</v>
      </c>
    </row>
    <row r="24" spans="1:16" s="155" customFormat="1" x14ac:dyDescent="0.25">
      <c r="A24" s="150">
        <f t="shared" si="5"/>
        <v>44119</v>
      </c>
      <c r="B24" s="145">
        <f t="shared" si="2"/>
        <v>1.2</v>
      </c>
      <c r="C24" s="146">
        <f t="shared" si="6"/>
        <v>1.75</v>
      </c>
      <c r="D24" s="147">
        <f t="shared" si="7"/>
        <v>1.99</v>
      </c>
      <c r="E24" s="138">
        <v>1.655</v>
      </c>
      <c r="F24" s="139">
        <v>1.865</v>
      </c>
      <c r="G24" s="140">
        <v>2.0550000000000002</v>
      </c>
      <c r="H24" s="148">
        <f t="shared" si="9"/>
        <v>1.79</v>
      </c>
      <c r="I24" s="148">
        <f t="shared" si="9"/>
        <v>1.95</v>
      </c>
      <c r="J24" s="148">
        <f t="shared" si="9"/>
        <v>2.1</v>
      </c>
      <c r="K24" s="151">
        <f>AVERAGE(B24,E24,H24)</f>
        <v>1.5483333333333331</v>
      </c>
      <c r="L24" s="152">
        <f t="shared" si="0"/>
        <v>1.8550000000000002</v>
      </c>
      <c r="M24" s="153">
        <f t="shared" si="0"/>
        <v>2.0483333333333333</v>
      </c>
      <c r="N24" s="154">
        <f t="shared" si="1"/>
        <v>44119</v>
      </c>
      <c r="P24" s="144">
        <f t="shared" si="4"/>
        <v>0.13500000000000001</v>
      </c>
    </row>
    <row r="25" spans="1:16" s="155" customFormat="1" x14ac:dyDescent="0.25">
      <c r="A25" s="150">
        <f t="shared" si="5"/>
        <v>44120</v>
      </c>
      <c r="B25" s="145">
        <f t="shared" si="2"/>
        <v>1.2</v>
      </c>
      <c r="C25" s="146">
        <f t="shared" si="6"/>
        <v>1.75</v>
      </c>
      <c r="D25" s="147">
        <f t="shared" si="7"/>
        <v>1.99</v>
      </c>
      <c r="E25" s="138">
        <v>1.9750000000000001</v>
      </c>
      <c r="F25" s="139">
        <v>2.0499999999999998</v>
      </c>
      <c r="G25" s="140">
        <v>2.19</v>
      </c>
      <c r="H25" s="148">
        <f t="shared" si="9"/>
        <v>1.79</v>
      </c>
      <c r="I25" s="148">
        <f t="shared" si="9"/>
        <v>1.95</v>
      </c>
      <c r="J25" s="148">
        <f t="shared" si="9"/>
        <v>2.1</v>
      </c>
      <c r="K25" s="151">
        <f t="shared" si="0"/>
        <v>1.655</v>
      </c>
      <c r="L25" s="152">
        <f t="shared" si="0"/>
        <v>1.9166666666666667</v>
      </c>
      <c r="M25" s="153">
        <f t="shared" si="0"/>
        <v>2.0933333333333333</v>
      </c>
      <c r="N25" s="154">
        <f t="shared" si="1"/>
        <v>44120</v>
      </c>
      <c r="P25" s="156">
        <f t="shared" si="4"/>
        <v>-0.18500000000000005</v>
      </c>
    </row>
    <row r="26" spans="1:16" s="155" customFormat="1" x14ac:dyDescent="0.25">
      <c r="A26" s="150">
        <f t="shared" si="5"/>
        <v>44121</v>
      </c>
      <c r="B26" s="145">
        <f t="shared" si="2"/>
        <v>1.2</v>
      </c>
      <c r="C26" s="146">
        <f t="shared" si="6"/>
        <v>1.75</v>
      </c>
      <c r="D26" s="147">
        <f t="shared" si="7"/>
        <v>1.99</v>
      </c>
      <c r="E26" s="138">
        <v>1.7649999999999999</v>
      </c>
      <c r="F26" s="139">
        <v>2.02</v>
      </c>
      <c r="G26" s="140">
        <v>2.0950000000000002</v>
      </c>
      <c r="H26" s="148">
        <f t="shared" si="9"/>
        <v>1.79</v>
      </c>
      <c r="I26" s="148">
        <f t="shared" si="9"/>
        <v>1.95</v>
      </c>
      <c r="J26" s="148">
        <f t="shared" si="9"/>
        <v>2.1</v>
      </c>
      <c r="K26" s="151">
        <f t="shared" si="0"/>
        <v>1.585</v>
      </c>
      <c r="L26" s="152">
        <f t="shared" si="0"/>
        <v>1.9066666666666665</v>
      </c>
      <c r="M26" s="153">
        <f t="shared" si="0"/>
        <v>2.061666666666667</v>
      </c>
      <c r="N26" s="154">
        <f t="shared" si="1"/>
        <v>44121</v>
      </c>
      <c r="P26" s="144">
        <f t="shared" si="4"/>
        <v>2.5000000000000133E-2</v>
      </c>
    </row>
    <row r="27" spans="1:16" s="155" customFormat="1" x14ac:dyDescent="0.25">
      <c r="A27" s="150">
        <f t="shared" si="5"/>
        <v>44122</v>
      </c>
      <c r="B27" s="145">
        <f t="shared" si="2"/>
        <v>1.2</v>
      </c>
      <c r="C27" s="146">
        <f t="shared" si="6"/>
        <v>1.75</v>
      </c>
      <c r="D27" s="147">
        <f t="shared" si="7"/>
        <v>1.99</v>
      </c>
      <c r="E27" s="138">
        <v>1.7649999999999999</v>
      </c>
      <c r="F27" s="139">
        <v>2.02</v>
      </c>
      <c r="G27" s="140">
        <v>2.0950000000000002</v>
      </c>
      <c r="H27" s="148">
        <f t="shared" si="9"/>
        <v>1.79</v>
      </c>
      <c r="I27" s="148">
        <f t="shared" si="9"/>
        <v>1.95</v>
      </c>
      <c r="J27" s="148">
        <f t="shared" si="9"/>
        <v>2.1</v>
      </c>
      <c r="K27" s="151">
        <f t="shared" si="0"/>
        <v>1.585</v>
      </c>
      <c r="L27" s="152">
        <f t="shared" si="0"/>
        <v>1.9066666666666665</v>
      </c>
      <c r="M27" s="153">
        <f t="shared" si="0"/>
        <v>2.061666666666667</v>
      </c>
      <c r="N27" s="154">
        <f t="shared" si="1"/>
        <v>44122</v>
      </c>
      <c r="P27" s="156">
        <f t="shared" si="4"/>
        <v>2.5000000000000133E-2</v>
      </c>
    </row>
    <row r="28" spans="1:16" s="155" customFormat="1" x14ac:dyDescent="0.25">
      <c r="A28" s="150">
        <f t="shared" si="5"/>
        <v>44123</v>
      </c>
      <c r="B28" s="145">
        <f t="shared" si="2"/>
        <v>1.2</v>
      </c>
      <c r="C28" s="146">
        <f t="shared" si="6"/>
        <v>1.75</v>
      </c>
      <c r="D28" s="147">
        <f t="shared" si="7"/>
        <v>1.99</v>
      </c>
      <c r="E28" s="138">
        <v>1.7649999999999999</v>
      </c>
      <c r="F28" s="139">
        <v>2.02</v>
      </c>
      <c r="G28" s="140">
        <v>2.0950000000000002</v>
      </c>
      <c r="H28" s="148">
        <f t="shared" si="9"/>
        <v>1.79</v>
      </c>
      <c r="I28" s="148">
        <f t="shared" si="9"/>
        <v>1.95</v>
      </c>
      <c r="J28" s="148">
        <f t="shared" si="9"/>
        <v>2.1</v>
      </c>
      <c r="K28" s="151">
        <f t="shared" si="0"/>
        <v>1.585</v>
      </c>
      <c r="L28" s="152">
        <f t="shared" si="0"/>
        <v>1.9066666666666665</v>
      </c>
      <c r="M28" s="153">
        <f t="shared" si="0"/>
        <v>2.061666666666667</v>
      </c>
      <c r="N28" s="154">
        <f t="shared" si="1"/>
        <v>44123</v>
      </c>
      <c r="P28" s="156">
        <f t="shared" si="4"/>
        <v>2.5000000000000133E-2</v>
      </c>
    </row>
    <row r="29" spans="1:16" s="155" customFormat="1" ht="13" x14ac:dyDescent="0.3">
      <c r="A29" s="150">
        <f t="shared" si="5"/>
        <v>44124</v>
      </c>
      <c r="B29" s="145">
        <f t="shared" si="2"/>
        <v>1.2</v>
      </c>
      <c r="C29" s="146">
        <f t="shared" si="6"/>
        <v>1.75</v>
      </c>
      <c r="D29" s="147">
        <f t="shared" si="7"/>
        <v>1.99</v>
      </c>
      <c r="E29" s="138">
        <v>1.97</v>
      </c>
      <c r="F29" s="139">
        <v>2.21</v>
      </c>
      <c r="G29" s="140">
        <v>2.3149999999999999</v>
      </c>
      <c r="H29" s="158">
        <v>1.1100000000000001</v>
      </c>
      <c r="I29" s="158">
        <v>2.5499999999999998</v>
      </c>
      <c r="J29" s="158">
        <v>2.65</v>
      </c>
      <c r="K29" s="151">
        <f t="shared" si="0"/>
        <v>1.4266666666666667</v>
      </c>
      <c r="L29" s="152">
        <f t="shared" si="0"/>
        <v>2.17</v>
      </c>
      <c r="M29" s="153">
        <f t="shared" si="0"/>
        <v>2.3183333333333334</v>
      </c>
      <c r="N29" s="154">
        <f t="shared" si="1"/>
        <v>44124</v>
      </c>
      <c r="P29" s="144">
        <f t="shared" si="4"/>
        <v>-0.85999999999999988</v>
      </c>
    </row>
    <row r="30" spans="1:16" s="155" customFormat="1" ht="13" x14ac:dyDescent="0.3">
      <c r="A30" s="150">
        <f t="shared" si="5"/>
        <v>44125</v>
      </c>
      <c r="B30" s="145">
        <f t="shared" si="2"/>
        <v>1.2</v>
      </c>
      <c r="C30" s="146">
        <f t="shared" si="6"/>
        <v>1.75</v>
      </c>
      <c r="D30" s="147">
        <f t="shared" si="7"/>
        <v>1.99</v>
      </c>
      <c r="E30" s="138">
        <v>2.1150000000000002</v>
      </c>
      <c r="F30" s="139">
        <v>2.5299999999999998</v>
      </c>
      <c r="G30" s="140">
        <v>2.645</v>
      </c>
      <c r="H30" s="148">
        <f t="shared" ref="H30:J35" si="10">H29</f>
        <v>1.1100000000000001</v>
      </c>
      <c r="I30" s="148">
        <f t="shared" si="10"/>
        <v>2.5499999999999998</v>
      </c>
      <c r="J30" s="148">
        <f t="shared" si="10"/>
        <v>2.65</v>
      </c>
      <c r="K30" s="151">
        <f t="shared" si="0"/>
        <v>1.4750000000000003</v>
      </c>
      <c r="L30" s="152">
        <f t="shared" si="0"/>
        <v>2.2766666666666664</v>
      </c>
      <c r="M30" s="153">
        <f t="shared" si="0"/>
        <v>2.4283333333333332</v>
      </c>
      <c r="N30" s="157">
        <f t="shared" si="1"/>
        <v>44125</v>
      </c>
      <c r="P30" s="144">
        <f t="shared" si="4"/>
        <v>-1.0050000000000001</v>
      </c>
    </row>
    <row r="31" spans="1:16" s="155" customFormat="1" x14ac:dyDescent="0.25">
      <c r="A31" s="150">
        <f t="shared" si="5"/>
        <v>44126</v>
      </c>
      <c r="B31" s="145">
        <f t="shared" si="2"/>
        <v>1.2</v>
      </c>
      <c r="C31" s="146">
        <f t="shared" si="6"/>
        <v>1.75</v>
      </c>
      <c r="D31" s="147">
        <f t="shared" si="7"/>
        <v>1.99</v>
      </c>
      <c r="E31" s="138">
        <v>0.99</v>
      </c>
      <c r="F31" s="139">
        <v>2.63</v>
      </c>
      <c r="G31" s="140">
        <v>2.7450000000000001</v>
      </c>
      <c r="H31" s="148">
        <f t="shared" si="10"/>
        <v>1.1100000000000001</v>
      </c>
      <c r="I31" s="148">
        <f t="shared" si="10"/>
        <v>2.5499999999999998</v>
      </c>
      <c r="J31" s="148">
        <f t="shared" si="10"/>
        <v>2.65</v>
      </c>
      <c r="K31" s="151">
        <f t="shared" si="0"/>
        <v>1.0999999999999999</v>
      </c>
      <c r="L31" s="152">
        <f t="shared" si="0"/>
        <v>2.31</v>
      </c>
      <c r="M31" s="153">
        <f t="shared" si="0"/>
        <v>2.4616666666666664</v>
      </c>
      <c r="N31" s="154">
        <f t="shared" si="1"/>
        <v>44126</v>
      </c>
      <c r="P31" s="144">
        <f t="shared" si="4"/>
        <v>0.12000000000000011</v>
      </c>
    </row>
    <row r="32" spans="1:16" s="155" customFormat="1" x14ac:dyDescent="0.25">
      <c r="A32" s="150">
        <f t="shared" si="5"/>
        <v>44127</v>
      </c>
      <c r="B32" s="145">
        <f t="shared" si="2"/>
        <v>1.2</v>
      </c>
      <c r="C32" s="146">
        <f t="shared" si="6"/>
        <v>1.75</v>
      </c>
      <c r="D32" s="147">
        <f t="shared" si="7"/>
        <v>1.99</v>
      </c>
      <c r="E32" s="138">
        <v>0.86</v>
      </c>
      <c r="F32" s="139">
        <v>2.7549999999999999</v>
      </c>
      <c r="G32" s="140">
        <v>2.85</v>
      </c>
      <c r="H32" s="148">
        <f t="shared" si="10"/>
        <v>1.1100000000000001</v>
      </c>
      <c r="I32" s="148">
        <f t="shared" si="10"/>
        <v>2.5499999999999998</v>
      </c>
      <c r="J32" s="148">
        <f t="shared" si="10"/>
        <v>2.65</v>
      </c>
      <c r="K32" s="151">
        <f t="shared" si="0"/>
        <v>1.0566666666666666</v>
      </c>
      <c r="L32" s="152">
        <f t="shared" si="0"/>
        <v>2.3516666666666666</v>
      </c>
      <c r="M32" s="153">
        <f t="shared" si="0"/>
        <v>2.4966666666666666</v>
      </c>
      <c r="N32" s="154">
        <f t="shared" si="1"/>
        <v>44127</v>
      </c>
      <c r="P32" s="144">
        <f t="shared" si="4"/>
        <v>0.25000000000000011</v>
      </c>
    </row>
    <row r="33" spans="1:16" s="155" customFormat="1" x14ac:dyDescent="0.25">
      <c r="A33" s="150">
        <f t="shared" si="5"/>
        <v>44128</v>
      </c>
      <c r="B33" s="145">
        <f t="shared" si="2"/>
        <v>1.2</v>
      </c>
      <c r="C33" s="146">
        <f t="shared" si="6"/>
        <v>1.75</v>
      </c>
      <c r="D33" s="147">
        <f t="shared" si="7"/>
        <v>1.99</v>
      </c>
      <c r="E33" s="138">
        <v>1.1499999999999999</v>
      </c>
      <c r="F33" s="139">
        <v>2.645</v>
      </c>
      <c r="G33" s="140">
        <v>2.79</v>
      </c>
      <c r="H33" s="148">
        <f t="shared" si="10"/>
        <v>1.1100000000000001</v>
      </c>
      <c r="I33" s="148">
        <f t="shared" si="10"/>
        <v>2.5499999999999998</v>
      </c>
      <c r="J33" s="148">
        <f t="shared" si="10"/>
        <v>2.65</v>
      </c>
      <c r="K33" s="151">
        <f t="shared" si="0"/>
        <v>1.1533333333333333</v>
      </c>
      <c r="L33" s="152">
        <f t="shared" si="0"/>
        <v>2.3149999999999999</v>
      </c>
      <c r="M33" s="153">
        <f t="shared" si="0"/>
        <v>2.4766666666666666</v>
      </c>
      <c r="N33" s="154">
        <f t="shared" si="1"/>
        <v>44128</v>
      </c>
      <c r="P33" s="144">
        <f t="shared" si="4"/>
        <v>-3.9999999999999813E-2</v>
      </c>
    </row>
    <row r="34" spans="1:16" s="155" customFormat="1" x14ac:dyDescent="0.25">
      <c r="A34" s="150">
        <f t="shared" si="5"/>
        <v>44129</v>
      </c>
      <c r="B34" s="145">
        <f t="shared" si="2"/>
        <v>1.2</v>
      </c>
      <c r="C34" s="146">
        <f t="shared" si="6"/>
        <v>1.75</v>
      </c>
      <c r="D34" s="147">
        <f t="shared" si="7"/>
        <v>1.99</v>
      </c>
      <c r="E34" s="138">
        <v>1.1499999999999999</v>
      </c>
      <c r="F34" s="139">
        <v>2.645</v>
      </c>
      <c r="G34" s="140">
        <v>2.79</v>
      </c>
      <c r="H34" s="148">
        <f t="shared" si="10"/>
        <v>1.1100000000000001</v>
      </c>
      <c r="I34" s="148">
        <f t="shared" si="10"/>
        <v>2.5499999999999998</v>
      </c>
      <c r="J34" s="148">
        <f t="shared" si="10"/>
        <v>2.65</v>
      </c>
      <c r="K34" s="151">
        <f t="shared" si="0"/>
        <v>1.1533333333333333</v>
      </c>
      <c r="L34" s="152">
        <f t="shared" si="0"/>
        <v>2.3149999999999999</v>
      </c>
      <c r="M34" s="153">
        <f t="shared" si="0"/>
        <v>2.4766666666666666</v>
      </c>
      <c r="N34" s="154">
        <f t="shared" si="1"/>
        <v>44129</v>
      </c>
      <c r="P34" s="156">
        <f t="shared" si="4"/>
        <v>-3.9999999999999813E-2</v>
      </c>
    </row>
    <row r="35" spans="1:16" s="155" customFormat="1" x14ac:dyDescent="0.25">
      <c r="A35" s="150">
        <f t="shared" si="5"/>
        <v>44130</v>
      </c>
      <c r="B35" s="145">
        <f t="shared" si="2"/>
        <v>1.2</v>
      </c>
      <c r="C35" s="146">
        <f t="shared" si="6"/>
        <v>1.75</v>
      </c>
      <c r="D35" s="147">
        <f t="shared" si="7"/>
        <v>1.99</v>
      </c>
      <c r="E35" s="138">
        <v>1.1499999999999999</v>
      </c>
      <c r="F35" s="139">
        <v>2.645</v>
      </c>
      <c r="G35" s="140">
        <v>2.79</v>
      </c>
      <c r="H35" s="148">
        <f t="shared" si="10"/>
        <v>1.1100000000000001</v>
      </c>
      <c r="I35" s="148">
        <f t="shared" si="10"/>
        <v>2.5499999999999998</v>
      </c>
      <c r="J35" s="148">
        <f t="shared" si="10"/>
        <v>2.65</v>
      </c>
      <c r="K35" s="151">
        <f t="shared" si="0"/>
        <v>1.1533333333333333</v>
      </c>
      <c r="L35" s="152">
        <f t="shared" si="0"/>
        <v>2.3149999999999999</v>
      </c>
      <c r="M35" s="153">
        <f t="shared" si="0"/>
        <v>2.4766666666666666</v>
      </c>
      <c r="N35" s="154">
        <f t="shared" si="1"/>
        <v>44130</v>
      </c>
      <c r="P35" s="156">
        <f t="shared" si="4"/>
        <v>-3.9999999999999813E-2</v>
      </c>
    </row>
    <row r="36" spans="1:16" ht="13" x14ac:dyDescent="0.3">
      <c r="A36" s="109">
        <f t="shared" si="5"/>
        <v>44131</v>
      </c>
      <c r="B36" s="145">
        <f t="shared" si="2"/>
        <v>1.2</v>
      </c>
      <c r="C36" s="146">
        <f t="shared" si="6"/>
        <v>1.75</v>
      </c>
      <c r="D36" s="147">
        <f t="shared" si="7"/>
        <v>1.99</v>
      </c>
      <c r="E36" s="138">
        <v>2.2599999999999998</v>
      </c>
      <c r="F36" s="139">
        <v>2.85</v>
      </c>
      <c r="G36" s="140">
        <v>2.93</v>
      </c>
      <c r="H36" s="158">
        <v>2.3199999999999998</v>
      </c>
      <c r="I36" s="158">
        <v>2.8</v>
      </c>
      <c r="J36" s="158">
        <v>2.94</v>
      </c>
      <c r="K36" s="151">
        <f t="shared" si="0"/>
        <v>1.9266666666666665</v>
      </c>
      <c r="L36" s="142">
        <f t="shared" si="0"/>
        <v>2.4666666666666663</v>
      </c>
      <c r="M36" s="143">
        <f t="shared" si="0"/>
        <v>2.6199999999999997</v>
      </c>
      <c r="N36" s="154">
        <f t="shared" si="1"/>
        <v>44131</v>
      </c>
      <c r="P36" s="144">
        <f>H36-E36</f>
        <v>6.0000000000000053E-2</v>
      </c>
    </row>
    <row r="37" spans="1:16" ht="13" x14ac:dyDescent="0.3">
      <c r="A37" s="109">
        <f t="shared" si="5"/>
        <v>44132</v>
      </c>
      <c r="B37" s="145">
        <f t="shared" si="2"/>
        <v>1.2</v>
      </c>
      <c r="C37" s="146">
        <f t="shared" si="6"/>
        <v>1.75</v>
      </c>
      <c r="D37" s="147">
        <f t="shared" si="7"/>
        <v>1.99</v>
      </c>
      <c r="E37" s="138">
        <v>2.27</v>
      </c>
      <c r="F37" s="139">
        <v>2.8</v>
      </c>
      <c r="G37" s="140">
        <v>2.92</v>
      </c>
      <c r="H37" s="148">
        <f t="shared" ref="H37:J40" si="11">H36</f>
        <v>2.3199999999999998</v>
      </c>
      <c r="I37" s="148">
        <f t="shared" si="11"/>
        <v>2.8</v>
      </c>
      <c r="J37" s="148">
        <f t="shared" si="11"/>
        <v>2.94</v>
      </c>
      <c r="K37" s="151">
        <f t="shared" si="0"/>
        <v>1.9299999999999997</v>
      </c>
      <c r="L37" s="142">
        <f t="shared" si="0"/>
        <v>2.4499999999999997</v>
      </c>
      <c r="M37" s="143">
        <f t="shared" si="0"/>
        <v>2.6166666666666667</v>
      </c>
      <c r="N37" s="157">
        <f t="shared" si="1"/>
        <v>44132</v>
      </c>
      <c r="P37" s="144">
        <f t="shared" si="4"/>
        <v>4.9999999999999822E-2</v>
      </c>
    </row>
    <row r="38" spans="1:16" s="155" customFormat="1" x14ac:dyDescent="0.25">
      <c r="A38" s="150">
        <f t="shared" si="5"/>
        <v>44133</v>
      </c>
      <c r="B38" s="145">
        <f t="shared" si="2"/>
        <v>1.2</v>
      </c>
      <c r="C38" s="146">
        <f t="shared" si="6"/>
        <v>1.75</v>
      </c>
      <c r="D38" s="147">
        <f t="shared" si="7"/>
        <v>1.99</v>
      </c>
      <c r="E38" s="138">
        <v>2.33</v>
      </c>
      <c r="F38" s="139">
        <v>2.7749999999999999</v>
      </c>
      <c r="G38" s="140">
        <v>2.9649999999999999</v>
      </c>
      <c r="H38" s="148">
        <f t="shared" si="11"/>
        <v>2.3199999999999998</v>
      </c>
      <c r="I38" s="148">
        <f t="shared" si="11"/>
        <v>2.8</v>
      </c>
      <c r="J38" s="148">
        <f t="shared" si="11"/>
        <v>2.94</v>
      </c>
      <c r="K38" s="151">
        <f t="shared" ref="K38:M40" si="12">AVERAGE(B38,E38,H38)</f>
        <v>1.95</v>
      </c>
      <c r="L38" s="152">
        <f t="shared" si="12"/>
        <v>2.4416666666666669</v>
      </c>
      <c r="M38" s="153">
        <f t="shared" si="12"/>
        <v>2.6316666666666664</v>
      </c>
      <c r="N38" s="154">
        <f t="shared" si="1"/>
        <v>44133</v>
      </c>
      <c r="P38" s="156">
        <f t="shared" si="4"/>
        <v>-1.0000000000000231E-2</v>
      </c>
    </row>
    <row r="39" spans="1:16" ht="13" x14ac:dyDescent="0.3">
      <c r="A39" s="109">
        <f t="shared" si="5"/>
        <v>44134</v>
      </c>
      <c r="B39" s="145">
        <f t="shared" si="2"/>
        <v>1.2</v>
      </c>
      <c r="C39" s="146">
        <f t="shared" si="6"/>
        <v>1.75</v>
      </c>
      <c r="D39" s="147">
        <f t="shared" si="7"/>
        <v>1.99</v>
      </c>
      <c r="E39" s="138">
        <v>2.3849999999999998</v>
      </c>
      <c r="F39" s="139">
        <v>2.65</v>
      </c>
      <c r="G39" s="140">
        <v>2.875</v>
      </c>
      <c r="H39" s="148">
        <f t="shared" si="11"/>
        <v>2.3199999999999998</v>
      </c>
      <c r="I39" s="148">
        <f t="shared" si="11"/>
        <v>2.8</v>
      </c>
      <c r="J39" s="148">
        <f t="shared" si="11"/>
        <v>2.94</v>
      </c>
      <c r="K39" s="151">
        <f t="shared" si="12"/>
        <v>1.968333333333333</v>
      </c>
      <c r="L39" s="142">
        <f t="shared" si="12"/>
        <v>2.4</v>
      </c>
      <c r="M39" s="143">
        <f t="shared" si="12"/>
        <v>2.6016666666666666</v>
      </c>
      <c r="N39" s="157">
        <f t="shared" si="1"/>
        <v>44134</v>
      </c>
      <c r="P39" s="144">
        <f t="shared" si="4"/>
        <v>-6.4999999999999947E-2</v>
      </c>
    </row>
    <row r="40" spans="1:16" ht="13" x14ac:dyDescent="0.3">
      <c r="A40" s="109">
        <f t="shared" si="5"/>
        <v>44135</v>
      </c>
      <c r="B40" s="145">
        <f t="shared" si="2"/>
        <v>1.2</v>
      </c>
      <c r="C40" s="146">
        <f t="shared" si="6"/>
        <v>1.75</v>
      </c>
      <c r="D40" s="147">
        <f t="shared" si="7"/>
        <v>1.99</v>
      </c>
      <c r="E40" s="138">
        <v>2.3849999999999998</v>
      </c>
      <c r="F40" s="139">
        <v>2.65</v>
      </c>
      <c r="G40" s="140">
        <v>2.875</v>
      </c>
      <c r="H40" s="148">
        <f t="shared" si="11"/>
        <v>2.3199999999999998</v>
      </c>
      <c r="I40" s="148">
        <f t="shared" si="11"/>
        <v>2.8</v>
      </c>
      <c r="J40" s="148">
        <f t="shared" si="11"/>
        <v>2.94</v>
      </c>
      <c r="K40" s="151">
        <f t="shared" si="12"/>
        <v>1.968333333333333</v>
      </c>
      <c r="L40" s="142">
        <f t="shared" si="12"/>
        <v>2.4</v>
      </c>
      <c r="M40" s="143">
        <f t="shared" si="12"/>
        <v>2.6016666666666666</v>
      </c>
      <c r="N40" s="157">
        <f t="shared" si="1"/>
        <v>44135</v>
      </c>
      <c r="P40" s="144">
        <f t="shared" si="4"/>
        <v>-6.4999999999999947E-2</v>
      </c>
    </row>
    <row r="41" spans="1:16" x14ac:dyDescent="0.25">
      <c r="B41" s="145"/>
      <c r="C41" s="146"/>
      <c r="D41" s="147"/>
      <c r="E41" s="159"/>
      <c r="F41" s="160"/>
      <c r="G41" s="161"/>
      <c r="H41" s="159"/>
      <c r="I41" s="160"/>
      <c r="J41" s="161"/>
      <c r="K41" s="141"/>
      <c r="L41" s="142"/>
      <c r="M41" s="143"/>
    </row>
    <row r="42" spans="1:16" s="155" customFormat="1" ht="13" x14ac:dyDescent="0.3">
      <c r="A42" s="162" t="s">
        <v>102</v>
      </c>
      <c r="B42" s="163">
        <f t="shared" ref="B42:M42" si="13">AVERAGE(B10:B40)</f>
        <v>1.2000000000000002</v>
      </c>
      <c r="C42" s="163">
        <f t="shared" si="13"/>
        <v>1.75</v>
      </c>
      <c r="D42" s="163">
        <f t="shared" si="13"/>
        <v>1.9900000000000007</v>
      </c>
      <c r="E42" s="163">
        <f t="shared" si="13"/>
        <v>1.4137096774193545</v>
      </c>
      <c r="F42" s="163">
        <f t="shared" si="13"/>
        <v>1.8966129032258068</v>
      </c>
      <c r="G42" s="163">
        <f t="shared" si="13"/>
        <v>2.1404838709677416</v>
      </c>
      <c r="H42" s="163">
        <f t="shared" si="13"/>
        <v>1.3983870967741932</v>
      </c>
      <c r="I42" s="163">
        <f t="shared" si="13"/>
        <v>1.9316129032258054</v>
      </c>
      <c r="J42" s="163">
        <f t="shared" si="13"/>
        <v>2.1390322580645158</v>
      </c>
      <c r="K42" s="163">
        <f t="shared" si="13"/>
        <v>1.3373655913978495</v>
      </c>
      <c r="L42" s="163">
        <f t="shared" si="13"/>
        <v>1.8594086021505376</v>
      </c>
      <c r="M42" s="163">
        <f t="shared" si="13"/>
        <v>2.0898387096774198</v>
      </c>
      <c r="N42" s="164"/>
    </row>
    <row r="43" spans="1:16" x14ac:dyDescent="0.25">
      <c r="B43" s="165"/>
      <c r="C43" s="165"/>
      <c r="D43" s="165"/>
      <c r="E43" s="165"/>
      <c r="F43" s="165"/>
      <c r="G43" s="165"/>
      <c r="H43" s="165"/>
      <c r="I43" s="165"/>
      <c r="J43" s="165"/>
      <c r="K43" s="166"/>
      <c r="L43" s="167"/>
    </row>
    <row r="44" spans="1:16" x14ac:dyDescent="0.25">
      <c r="B44" s="165"/>
      <c r="C44" s="165"/>
      <c r="D44" s="165"/>
      <c r="E44" s="165"/>
      <c r="F44" s="165"/>
      <c r="G44" s="168"/>
      <c r="H44" s="169"/>
      <c r="I44" s="168"/>
      <c r="J44" s="165"/>
      <c r="K44" s="166"/>
      <c r="L44" s="167"/>
    </row>
    <row r="45" spans="1:16" x14ac:dyDescent="0.25">
      <c r="B45" s="165"/>
      <c r="C45" s="165"/>
      <c r="D45" s="165"/>
      <c r="E45" s="165"/>
      <c r="F45" s="165"/>
      <c r="G45" s="165"/>
      <c r="H45" s="165"/>
      <c r="I45" s="165"/>
      <c r="J45" s="165"/>
      <c r="K45" s="166"/>
      <c r="L45" s="167"/>
    </row>
    <row r="46" spans="1:16" x14ac:dyDescent="0.25">
      <c r="B46" s="165"/>
      <c r="C46" s="165"/>
      <c r="D46" s="165"/>
      <c r="E46" s="165"/>
      <c r="F46" s="165"/>
      <c r="G46" s="165"/>
      <c r="H46" s="165"/>
      <c r="I46" s="165"/>
      <c r="J46" s="165"/>
      <c r="K46" s="166"/>
      <c r="L46" s="167"/>
    </row>
    <row r="47" spans="1:16" x14ac:dyDescent="0.25">
      <c r="B47" s="165"/>
      <c r="C47" s="165"/>
      <c r="D47" s="165"/>
      <c r="E47" s="165"/>
      <c r="F47" s="165"/>
      <c r="G47" s="165"/>
      <c r="H47" s="165"/>
      <c r="I47" s="165"/>
      <c r="J47" s="165"/>
      <c r="K47" s="166"/>
      <c r="L47" s="167"/>
    </row>
    <row r="48" spans="1:16" ht="13" x14ac:dyDescent="0.3">
      <c r="A48" s="170" t="s">
        <v>103</v>
      </c>
      <c r="B48" s="171"/>
      <c r="C48" s="171"/>
      <c r="D48" s="171"/>
      <c r="E48" s="171"/>
      <c r="F48" s="171"/>
      <c r="G48" s="171"/>
      <c r="H48" s="171"/>
      <c r="I48" s="171"/>
      <c r="J48" s="172"/>
      <c r="K48" s="166"/>
      <c r="L48" s="167"/>
    </row>
    <row r="49" spans="1:17" x14ac:dyDescent="0.25">
      <c r="A49" s="173"/>
      <c r="B49" s="142"/>
      <c r="C49" s="142"/>
      <c r="D49" s="142"/>
      <c r="E49" s="142"/>
      <c r="F49" s="142"/>
      <c r="G49" s="142"/>
      <c r="H49" s="142"/>
      <c r="I49" s="142"/>
      <c r="J49" s="174"/>
      <c r="K49" s="166"/>
      <c r="L49" s="167"/>
    </row>
    <row r="50" spans="1:17" ht="14" x14ac:dyDescent="0.3">
      <c r="A50" s="175"/>
      <c r="B50" s="176"/>
      <c r="C50" s="176"/>
      <c r="D50" s="176"/>
      <c r="E50" s="177" t="s">
        <v>104</v>
      </c>
      <c r="F50" s="177" t="s">
        <v>104</v>
      </c>
      <c r="G50" s="177" t="s">
        <v>105</v>
      </c>
      <c r="H50" s="176"/>
      <c r="I50" s="176"/>
      <c r="J50" s="178"/>
      <c r="L50" s="167"/>
      <c r="M50" s="179"/>
    </row>
    <row r="51" spans="1:17" ht="15" customHeight="1" x14ac:dyDescent="0.3">
      <c r="A51" s="175"/>
      <c r="B51" s="180" t="s">
        <v>42</v>
      </c>
      <c r="C51" s="180" t="s">
        <v>106</v>
      </c>
      <c r="D51" s="176"/>
      <c r="E51" s="180" t="s">
        <v>107</v>
      </c>
      <c r="F51" s="180" t="s">
        <v>108</v>
      </c>
      <c r="G51" s="180" t="s">
        <v>108</v>
      </c>
      <c r="H51" s="205" t="s">
        <v>109</v>
      </c>
      <c r="I51" s="205"/>
      <c r="J51" s="178"/>
      <c r="K51" s="181"/>
      <c r="L51" s="182"/>
      <c r="M51" s="179"/>
    </row>
    <row r="52" spans="1:17" ht="15" customHeight="1" x14ac:dyDescent="0.3">
      <c r="A52" s="175"/>
      <c r="B52" s="176" t="s">
        <v>55</v>
      </c>
      <c r="C52" s="176" t="s">
        <v>110</v>
      </c>
      <c r="D52" s="176"/>
      <c r="E52" s="183">
        <f>722200-77500</f>
        <v>644700</v>
      </c>
      <c r="F52" s="184">
        <f>847627.75-147327.5</f>
        <v>700300.25</v>
      </c>
      <c r="G52" s="185">
        <f>E52*$K$42</f>
        <v>862199.59677419357</v>
      </c>
      <c r="H52" s="176"/>
      <c r="I52" s="186">
        <f>G52-F52</f>
        <v>161899.34677419357</v>
      </c>
      <c r="J52" s="178"/>
      <c r="L52" s="167"/>
      <c r="M52" s="179"/>
    </row>
    <row r="53" spans="1:17" ht="14" x14ac:dyDescent="0.3">
      <c r="A53" s="175"/>
      <c r="B53" s="176" t="s">
        <v>111</v>
      </c>
      <c r="C53" s="176" t="s">
        <v>112</v>
      </c>
      <c r="D53" s="176"/>
      <c r="E53" s="183">
        <v>0</v>
      </c>
      <c r="F53" s="184">
        <v>0</v>
      </c>
      <c r="G53" s="185">
        <f>E53*$L$42</f>
        <v>0</v>
      </c>
      <c r="H53" s="176"/>
      <c r="I53" s="186">
        <f t="shared" ref="I53:I54" si="14">G53-F53</f>
        <v>0</v>
      </c>
      <c r="J53" s="178"/>
      <c r="L53" s="167"/>
      <c r="M53" s="179"/>
    </row>
    <row r="54" spans="1:17" s="103" customFormat="1" ht="14" x14ac:dyDescent="0.3">
      <c r="A54" s="175"/>
      <c r="B54" s="176" t="s">
        <v>113</v>
      </c>
      <c r="C54" s="176">
        <v>500</v>
      </c>
      <c r="D54" s="176"/>
      <c r="E54" s="183">
        <v>0</v>
      </c>
      <c r="F54" s="184">
        <v>0</v>
      </c>
      <c r="G54" s="185">
        <f>E54*$M$42</f>
        <v>0</v>
      </c>
      <c r="H54" s="176"/>
      <c r="I54" s="186">
        <f t="shared" si="14"/>
        <v>0</v>
      </c>
      <c r="J54" s="178"/>
      <c r="L54" s="167"/>
      <c r="M54" s="179"/>
      <c r="O54" s="104"/>
      <c r="P54" s="104"/>
      <c r="Q54" s="104"/>
    </row>
    <row r="55" spans="1:17" s="103" customFormat="1" ht="14.5" thickBot="1" x14ac:dyDescent="0.35">
      <c r="A55" s="175"/>
      <c r="B55" s="176"/>
      <c r="C55" s="176"/>
      <c r="D55" s="176"/>
      <c r="E55" s="183"/>
      <c r="F55" s="184"/>
      <c r="G55" s="176"/>
      <c r="H55" s="176"/>
      <c r="I55" s="176"/>
      <c r="J55" s="178"/>
      <c r="L55" s="167"/>
      <c r="M55" s="179"/>
      <c r="O55" s="104"/>
      <c r="P55" s="104"/>
      <c r="Q55" s="104"/>
    </row>
    <row r="56" spans="1:17" s="103" customFormat="1" ht="14.5" thickBot="1" x14ac:dyDescent="0.35">
      <c r="A56" s="175"/>
      <c r="B56" s="176"/>
      <c r="C56" s="176"/>
      <c r="D56" s="176"/>
      <c r="E56" s="183"/>
      <c r="F56" s="184"/>
      <c r="G56" s="176"/>
      <c r="H56" s="187"/>
      <c r="I56" s="188">
        <f>SUM(I52:I55)</f>
        <v>161899.34677419357</v>
      </c>
      <c r="J56" s="178"/>
      <c r="L56" s="167"/>
      <c r="M56" s="179"/>
      <c r="O56" s="104"/>
      <c r="P56" s="104"/>
      <c r="Q56" s="104"/>
    </row>
    <row r="57" spans="1:17" s="103" customFormat="1" ht="14" x14ac:dyDescent="0.3">
      <c r="A57" s="189"/>
      <c r="B57" s="190"/>
      <c r="C57" s="190"/>
      <c r="D57" s="190"/>
      <c r="E57" s="191"/>
      <c r="F57" s="190"/>
      <c r="G57" s="190"/>
      <c r="H57" s="190"/>
      <c r="I57" s="190"/>
      <c r="J57" s="192"/>
      <c r="L57" s="167"/>
      <c r="M57" s="179"/>
      <c r="O57" s="104"/>
      <c r="P57" s="104"/>
      <c r="Q57" s="104"/>
    </row>
    <row r="58" spans="1:17" s="103" customFormat="1" ht="14" x14ac:dyDescent="0.3">
      <c r="A58" s="109"/>
      <c r="L58" s="167"/>
      <c r="M58" s="179"/>
      <c r="O58" s="104"/>
      <c r="P58" s="104"/>
      <c r="Q58" s="104"/>
    </row>
    <row r="59" spans="1:17" s="103" customFormat="1" ht="14" x14ac:dyDescent="0.3">
      <c r="A59" s="193"/>
      <c r="L59" s="167"/>
      <c r="M59" s="179"/>
      <c r="O59" s="104"/>
      <c r="P59" s="104"/>
      <c r="Q59" s="104"/>
    </row>
    <row r="60" spans="1:17" s="103" customFormat="1" ht="14" x14ac:dyDescent="0.3">
      <c r="A60" s="109"/>
      <c r="L60" s="167"/>
      <c r="M60" s="179"/>
      <c r="O60" s="104"/>
      <c r="P60" s="104"/>
      <c r="Q60" s="104"/>
    </row>
    <row r="61" spans="1:17" s="103" customFormat="1" x14ac:dyDescent="0.25">
      <c r="A61" s="109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167"/>
      <c r="O61" s="104"/>
      <c r="P61" s="104"/>
      <c r="Q61" s="104"/>
    </row>
    <row r="62" spans="1:17" s="103" customFormat="1" ht="13" x14ac:dyDescent="0.3">
      <c r="A62" s="170" t="s">
        <v>114</v>
      </c>
      <c r="B62" s="171"/>
      <c r="C62" s="171"/>
      <c r="D62" s="171"/>
      <c r="E62" s="171"/>
      <c r="F62" s="171"/>
      <c r="G62" s="171"/>
      <c r="H62" s="171"/>
      <c r="I62" s="171"/>
      <c r="J62" s="172"/>
      <c r="K62" s="166"/>
      <c r="L62" s="167"/>
      <c r="O62" s="104"/>
      <c r="P62" s="104"/>
      <c r="Q62" s="104"/>
    </row>
    <row r="63" spans="1:17" s="103" customFormat="1" x14ac:dyDescent="0.25">
      <c r="A63" s="173"/>
      <c r="B63" s="142"/>
      <c r="C63" s="142"/>
      <c r="D63" s="142"/>
      <c r="E63" s="142"/>
      <c r="F63" s="142"/>
      <c r="G63" s="142"/>
      <c r="H63" s="142"/>
      <c r="I63" s="142"/>
      <c r="J63" s="174"/>
      <c r="K63" s="166"/>
      <c r="L63" s="167"/>
      <c r="O63" s="104"/>
      <c r="P63" s="104"/>
      <c r="Q63" s="104"/>
    </row>
    <row r="64" spans="1:17" s="103" customFormat="1" ht="13" x14ac:dyDescent="0.3">
      <c r="A64" s="175"/>
      <c r="B64" s="176"/>
      <c r="C64" s="176"/>
      <c r="D64" s="176"/>
      <c r="E64" s="177" t="s">
        <v>104</v>
      </c>
      <c r="F64" s="177" t="s">
        <v>104</v>
      </c>
      <c r="G64" s="177" t="s">
        <v>105</v>
      </c>
      <c r="H64" s="176"/>
      <c r="I64" s="176"/>
      <c r="J64" s="178"/>
      <c r="L64" s="167"/>
      <c r="M64" s="194"/>
      <c r="O64" s="104"/>
      <c r="P64" s="104"/>
      <c r="Q64" s="104"/>
    </row>
    <row r="65" spans="1:17" s="103" customFormat="1" ht="13" x14ac:dyDescent="0.3">
      <c r="A65" s="175"/>
      <c r="B65" s="180" t="s">
        <v>42</v>
      </c>
      <c r="C65" s="180" t="s">
        <v>106</v>
      </c>
      <c r="D65" s="176"/>
      <c r="E65" s="180" t="s">
        <v>107</v>
      </c>
      <c r="F65" s="180" t="s">
        <v>108</v>
      </c>
      <c r="G65" s="180" t="s">
        <v>108</v>
      </c>
      <c r="H65" s="205" t="s">
        <v>109</v>
      </c>
      <c r="I65" s="205"/>
      <c r="J65" s="178"/>
      <c r="L65" s="167"/>
      <c r="O65" s="104"/>
      <c r="P65" s="104"/>
      <c r="Q65" s="104"/>
    </row>
    <row r="66" spans="1:17" x14ac:dyDescent="0.25">
      <c r="A66" s="175"/>
      <c r="B66" s="176" t="s">
        <v>55</v>
      </c>
      <c r="C66" s="176" t="s">
        <v>110</v>
      </c>
      <c r="D66" s="176"/>
      <c r="E66" s="183">
        <f>722200-77500</f>
        <v>644700</v>
      </c>
      <c r="F66" s="184">
        <f>847627.75-147327.5</f>
        <v>700300.25</v>
      </c>
      <c r="G66" s="185">
        <f>E66*$K$42</f>
        <v>862199.59677419357</v>
      </c>
      <c r="H66" s="176"/>
      <c r="I66" s="186">
        <f>G66-F66</f>
        <v>161899.34677419357</v>
      </c>
      <c r="J66" s="178"/>
    </row>
    <row r="67" spans="1:17" s="103" customFormat="1" x14ac:dyDescent="0.25">
      <c r="A67" s="175"/>
      <c r="B67" s="176" t="s">
        <v>111</v>
      </c>
      <c r="C67" s="176" t="s">
        <v>112</v>
      </c>
      <c r="D67" s="176"/>
      <c r="E67" s="183">
        <v>0</v>
      </c>
      <c r="F67" s="184">
        <v>0</v>
      </c>
      <c r="G67" s="185">
        <f>E67*$L$42</f>
        <v>0</v>
      </c>
      <c r="H67" s="176"/>
      <c r="I67" s="186">
        <f t="shared" ref="I67:I68" si="15">G67-F67</f>
        <v>0</v>
      </c>
      <c r="J67" s="178"/>
      <c r="K67" s="166"/>
      <c r="L67" s="167"/>
      <c r="O67" s="104"/>
      <c r="P67" s="104"/>
      <c r="Q67" s="104"/>
    </row>
    <row r="68" spans="1:17" s="103" customFormat="1" x14ac:dyDescent="0.25">
      <c r="A68" s="175"/>
      <c r="B68" s="176" t="s">
        <v>113</v>
      </c>
      <c r="C68" s="176">
        <v>500</v>
      </c>
      <c r="D68" s="176"/>
      <c r="E68" s="183">
        <v>0</v>
      </c>
      <c r="F68" s="184">
        <v>0</v>
      </c>
      <c r="G68" s="185">
        <f>E68*$M$42</f>
        <v>0</v>
      </c>
      <c r="H68" s="176"/>
      <c r="I68" s="186">
        <f t="shared" si="15"/>
        <v>0</v>
      </c>
      <c r="J68" s="178"/>
      <c r="K68" s="166"/>
      <c r="L68" s="167"/>
      <c r="O68" s="104"/>
      <c r="P68" s="104"/>
      <c r="Q68" s="104"/>
    </row>
    <row r="69" spans="1:17" s="103" customFormat="1" ht="13" thickBot="1" x14ac:dyDescent="0.3">
      <c r="A69" s="175"/>
      <c r="B69" s="176"/>
      <c r="C69" s="176"/>
      <c r="D69" s="176"/>
      <c r="E69" s="183"/>
      <c r="F69" s="184"/>
      <c r="G69" s="176"/>
      <c r="H69" s="176"/>
      <c r="I69" s="176"/>
      <c r="J69" s="178"/>
      <c r="K69" s="166"/>
      <c r="L69" s="167"/>
      <c r="O69" s="104"/>
      <c r="P69" s="104"/>
      <c r="Q69" s="104"/>
    </row>
    <row r="70" spans="1:17" s="103" customFormat="1" ht="13" thickBot="1" x14ac:dyDescent="0.3">
      <c r="A70" s="175"/>
      <c r="B70" s="176"/>
      <c r="C70" s="176"/>
      <c r="D70" s="176"/>
      <c r="E70" s="183"/>
      <c r="F70" s="184"/>
      <c r="G70" s="176"/>
      <c r="H70" s="187"/>
      <c r="I70" s="188">
        <f>SUM(I66:I69)</f>
        <v>161899.34677419357</v>
      </c>
      <c r="J70" s="178"/>
      <c r="L70" s="167"/>
      <c r="M70" s="194"/>
      <c r="O70" s="104"/>
      <c r="P70" s="104"/>
      <c r="Q70" s="104"/>
    </row>
    <row r="71" spans="1:17" s="103" customFormat="1" x14ac:dyDescent="0.25">
      <c r="A71" s="189"/>
      <c r="B71" s="190"/>
      <c r="C71" s="190"/>
      <c r="D71" s="190"/>
      <c r="E71" s="191"/>
      <c r="F71" s="190"/>
      <c r="G71" s="190"/>
      <c r="H71" s="190"/>
      <c r="I71" s="190"/>
      <c r="J71" s="192"/>
      <c r="L71" s="167"/>
      <c r="O71" s="104"/>
      <c r="P71" s="104"/>
      <c r="Q71" s="104"/>
    </row>
    <row r="72" spans="1:17" s="103" customFormat="1" x14ac:dyDescent="0.25">
      <c r="A72" s="109"/>
      <c r="L72" s="167"/>
      <c r="O72" s="104"/>
      <c r="P72" s="104"/>
      <c r="Q72" s="104"/>
    </row>
    <row r="73" spans="1:17" ht="13" x14ac:dyDescent="0.3">
      <c r="A73" s="193"/>
    </row>
    <row r="74" spans="1:17" s="103" customFormat="1" x14ac:dyDescent="0.25">
      <c r="A74" s="109"/>
      <c r="L74" s="167"/>
      <c r="M74" s="194"/>
      <c r="O74" s="104"/>
      <c r="P74" s="104"/>
      <c r="Q74" s="104"/>
    </row>
    <row r="75" spans="1:17" s="103" customFormat="1" x14ac:dyDescent="0.25">
      <c r="A75" s="109"/>
      <c r="B75" s="165"/>
      <c r="C75" s="165"/>
      <c r="D75" s="165"/>
      <c r="E75" s="165"/>
      <c r="F75" s="165"/>
      <c r="G75" s="165"/>
      <c r="H75" s="165"/>
      <c r="I75" s="165"/>
      <c r="J75" s="165"/>
      <c r="K75" s="166"/>
      <c r="L75" s="167"/>
      <c r="O75" s="104"/>
      <c r="P75" s="104"/>
      <c r="Q75" s="104"/>
    </row>
    <row r="76" spans="1:17" s="103" customFormat="1" x14ac:dyDescent="0.25">
      <c r="A76" s="109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7"/>
      <c r="M76" s="165"/>
      <c r="O76" s="104"/>
      <c r="P76" s="104"/>
      <c r="Q76" s="104"/>
    </row>
    <row r="77" spans="1:17" s="103" customFormat="1" x14ac:dyDescent="0.25">
      <c r="A77" s="109"/>
      <c r="B77" s="165"/>
      <c r="C77" s="165"/>
      <c r="D77" s="165"/>
      <c r="E77" s="165"/>
      <c r="F77" s="165"/>
      <c r="G77" s="165"/>
      <c r="H77" s="165"/>
      <c r="I77" s="165"/>
      <c r="J77" s="165"/>
      <c r="K77" s="166"/>
      <c r="L77" s="167"/>
      <c r="O77" s="104"/>
      <c r="P77" s="104"/>
      <c r="Q77" s="104"/>
    </row>
    <row r="78" spans="1:17" s="103" customFormat="1" x14ac:dyDescent="0.25">
      <c r="A78" s="109"/>
      <c r="B78" s="165"/>
      <c r="C78" s="165"/>
      <c r="D78" s="165"/>
      <c r="E78" s="165"/>
      <c r="F78" s="165"/>
      <c r="G78" s="165"/>
      <c r="H78" s="165"/>
      <c r="I78" s="165"/>
      <c r="J78" s="165"/>
      <c r="K78" s="166"/>
      <c r="L78" s="167"/>
      <c r="M78" s="194"/>
      <c r="O78" s="104"/>
      <c r="P78" s="104"/>
      <c r="Q78" s="104"/>
    </row>
    <row r="79" spans="1:17" s="103" customFormat="1" x14ac:dyDescent="0.25">
      <c r="A79" s="109"/>
      <c r="B79" s="165"/>
      <c r="C79" s="165"/>
      <c r="D79" s="165"/>
      <c r="E79" s="165"/>
      <c r="F79" s="165"/>
      <c r="G79" s="165"/>
      <c r="H79" s="165"/>
      <c r="I79" s="165"/>
      <c r="J79" s="165"/>
      <c r="K79" s="166"/>
      <c r="L79" s="167"/>
      <c r="O79" s="104"/>
      <c r="P79" s="104"/>
      <c r="Q79" s="104"/>
    </row>
    <row r="80" spans="1:17" s="103" customFormat="1" x14ac:dyDescent="0.25">
      <c r="A80" s="109"/>
      <c r="L80" s="167"/>
      <c r="O80" s="104"/>
      <c r="P80" s="104"/>
      <c r="Q80" s="104"/>
    </row>
    <row r="81" spans="1:17" s="103" customFormat="1" x14ac:dyDescent="0.25">
      <c r="A81" s="109"/>
      <c r="L81" s="167"/>
      <c r="O81" s="104"/>
      <c r="P81" s="104"/>
      <c r="Q81" s="104"/>
    </row>
    <row r="82" spans="1:17" s="103" customFormat="1" x14ac:dyDescent="0.25">
      <c r="A82" s="109"/>
      <c r="B82" s="165"/>
      <c r="C82" s="165"/>
      <c r="D82" s="165"/>
      <c r="E82" s="165"/>
      <c r="F82" s="165"/>
      <c r="G82" s="165"/>
      <c r="H82" s="165"/>
      <c r="I82" s="165"/>
      <c r="J82" s="165"/>
      <c r="L82" s="167"/>
      <c r="M82" s="194"/>
      <c r="O82" s="104"/>
      <c r="P82" s="104"/>
      <c r="Q82" s="104"/>
    </row>
  </sheetData>
  <mergeCells count="8">
    <mergeCell ref="H51:I51"/>
    <mergeCell ref="H65:I65"/>
    <mergeCell ref="H6:J6"/>
    <mergeCell ref="K6:M6"/>
    <mergeCell ref="B7:D7"/>
    <mergeCell ref="E7:G7"/>
    <mergeCell ref="H7:J7"/>
    <mergeCell ref="K7:M7"/>
  </mergeCells>
  <pageMargins left="0" right="0" top="0.53" bottom="0.74" header="0.21" footer="0.4"/>
  <pageSetup scale="74" fitToHeight="0" orientation="portrait" r:id="rId1"/>
  <headerFooter alignWithMargins="0">
    <oddHeader xml:space="preserve">&amp;RKY PSC CN 2020-00378  
 Staff's Data Request Set 1 No. 5 Attachment D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zoomScaleSheetLayoutView="100" workbookViewId="0">
      <selection activeCell="H3" sqref="H3"/>
    </sheetView>
  </sheetViews>
  <sheetFormatPr defaultColWidth="9.1796875" defaultRowHeight="15.5" x14ac:dyDescent="0.35"/>
  <cols>
    <col min="1" max="1" width="4.26953125" style="2" customWidth="1"/>
    <col min="2" max="2" width="16.7265625" style="2" customWidth="1"/>
    <col min="3" max="3" width="18.54296875" style="2" customWidth="1"/>
    <col min="4" max="4" width="16.1796875" style="2" customWidth="1"/>
    <col min="5" max="5" width="5.54296875" style="2" customWidth="1"/>
    <col min="6" max="6" width="18" style="2" customWidth="1"/>
    <col min="7" max="7" width="5.1796875" style="2" customWidth="1"/>
    <col min="8" max="8" width="32.54296875" style="2" customWidth="1"/>
    <col min="9" max="9" width="12" style="2" bestFit="1" customWidth="1"/>
    <col min="10" max="16384" width="9.1796875" style="2"/>
  </cols>
  <sheetData>
    <row r="1" spans="1:8" ht="18.5" x14ac:dyDescent="0.45">
      <c r="A1" s="1" t="s">
        <v>0</v>
      </c>
    </row>
    <row r="2" spans="1:8" ht="18.5" x14ac:dyDescent="0.45">
      <c r="A2" s="1" t="s">
        <v>1</v>
      </c>
    </row>
    <row r="3" spans="1:8" ht="18.5" x14ac:dyDescent="0.45">
      <c r="A3" s="3" t="s">
        <v>2</v>
      </c>
      <c r="C3" s="4">
        <v>44136</v>
      </c>
    </row>
    <row r="5" spans="1:8" x14ac:dyDescent="0.35">
      <c r="B5" s="5"/>
      <c r="C5" s="5"/>
      <c r="D5" s="6">
        <f>C3</f>
        <v>44136</v>
      </c>
      <c r="E5" s="7"/>
      <c r="F5" s="6">
        <f>C3</f>
        <v>44136</v>
      </c>
      <c r="G5" s="6"/>
      <c r="H5" s="7"/>
    </row>
    <row r="6" spans="1:8" x14ac:dyDescent="0.35">
      <c r="A6" s="8" t="s">
        <v>3</v>
      </c>
      <c r="B6" s="9" t="s">
        <v>4</v>
      </c>
      <c r="C6" s="9"/>
      <c r="D6" s="10" t="s">
        <v>5</v>
      </c>
      <c r="E6" s="11"/>
      <c r="F6" s="10" t="s">
        <v>6</v>
      </c>
      <c r="G6" s="10"/>
      <c r="H6" s="12"/>
    </row>
    <row r="7" spans="1:8" x14ac:dyDescent="0.35">
      <c r="A7" s="13">
        <v>1</v>
      </c>
      <c r="B7" s="12" t="s">
        <v>7</v>
      </c>
      <c r="C7" s="12"/>
      <c r="D7" s="14">
        <f>D24*0.3</f>
        <v>13695.07638</v>
      </c>
      <c r="E7" s="15"/>
      <c r="F7" s="14">
        <f>F24*0.3</f>
        <v>13702.700999999999</v>
      </c>
      <c r="G7" s="15"/>
      <c r="H7" s="16" t="s">
        <v>8</v>
      </c>
    </row>
    <row r="8" spans="1:8" x14ac:dyDescent="0.35">
      <c r="A8" s="13">
        <f>A7+1</f>
        <v>2</v>
      </c>
      <c r="B8" s="12" t="s">
        <v>7</v>
      </c>
      <c r="C8" s="12"/>
      <c r="D8" s="17">
        <f>IF(D24&gt;0,(D16-D24)*0.5,0)</f>
        <v>197254.9277</v>
      </c>
      <c r="E8" s="18"/>
      <c r="F8" s="17">
        <f>IF(F24&gt;0,(F16-F24)*0.5,0)</f>
        <v>197242.22</v>
      </c>
      <c r="G8" s="18"/>
      <c r="H8" s="16" t="s">
        <v>9</v>
      </c>
    </row>
    <row r="9" spans="1:8" x14ac:dyDescent="0.35">
      <c r="A9" s="13">
        <f>A8+1</f>
        <v>3</v>
      </c>
      <c r="B9" s="19" t="s">
        <v>10</v>
      </c>
      <c r="C9" s="19"/>
      <c r="D9" s="20">
        <f>D7+D8</f>
        <v>210950.00408000001</v>
      </c>
      <c r="E9" s="21"/>
      <c r="F9" s="20">
        <f>F7+F8</f>
        <v>210944.921</v>
      </c>
      <c r="G9" s="21"/>
      <c r="H9" s="22"/>
    </row>
    <row r="10" spans="1:8" x14ac:dyDescent="0.35">
      <c r="A10" s="13"/>
      <c r="B10" s="12"/>
      <c r="C10" s="12"/>
      <c r="D10" s="23"/>
      <c r="E10" s="24"/>
      <c r="F10" s="24"/>
      <c r="G10" s="24"/>
      <c r="H10" s="28"/>
    </row>
    <row r="11" spans="1:8" x14ac:dyDescent="0.35">
      <c r="A11" s="13">
        <f>A9+1</f>
        <v>4</v>
      </c>
      <c r="B11" s="12" t="s">
        <v>11</v>
      </c>
      <c r="C11" s="12"/>
      <c r="D11" s="25">
        <v>227212.5</v>
      </c>
      <c r="E11" s="26"/>
      <c r="F11" s="25">
        <v>227212.5</v>
      </c>
      <c r="G11" s="27"/>
      <c r="H11" s="22"/>
    </row>
    <row r="12" spans="1:8" x14ac:dyDescent="0.35">
      <c r="A12" s="13">
        <f>A11+1</f>
        <v>5</v>
      </c>
      <c r="B12" s="12" t="s">
        <v>12</v>
      </c>
      <c r="C12" s="12"/>
      <c r="D12" s="29">
        <v>19015.52</v>
      </c>
      <c r="E12" s="30"/>
      <c r="F12" s="25">
        <v>19015.52</v>
      </c>
      <c r="G12" s="31"/>
      <c r="H12" s="22"/>
    </row>
    <row r="13" spans="1:8" x14ac:dyDescent="0.35">
      <c r="A13" s="13">
        <f>A12+1</f>
        <v>6</v>
      </c>
      <c r="B13" s="12" t="s">
        <v>13</v>
      </c>
      <c r="C13" s="32" t="s">
        <v>14</v>
      </c>
      <c r="D13" s="29">
        <v>0</v>
      </c>
      <c r="E13" s="30"/>
      <c r="F13" s="25">
        <v>0</v>
      </c>
      <c r="G13" s="31"/>
      <c r="H13" s="33"/>
    </row>
    <row r="14" spans="1:8" x14ac:dyDescent="0.35">
      <c r="A14" s="13"/>
      <c r="B14" s="12"/>
      <c r="C14" s="32" t="s">
        <v>15</v>
      </c>
      <c r="D14" s="29">
        <v>193932.09</v>
      </c>
      <c r="E14" s="34" t="s">
        <v>16</v>
      </c>
      <c r="F14" s="29">
        <v>193932.09</v>
      </c>
      <c r="G14" s="31"/>
      <c r="H14" s="33"/>
    </row>
    <row r="15" spans="1:8" x14ac:dyDescent="0.35">
      <c r="A15" s="13"/>
      <c r="B15" s="12"/>
      <c r="D15" s="35"/>
      <c r="E15" s="30"/>
      <c r="F15" s="31"/>
      <c r="G15" s="31"/>
      <c r="H15" s="36"/>
    </row>
    <row r="16" spans="1:8" x14ac:dyDescent="0.35">
      <c r="A16" s="13">
        <v>7</v>
      </c>
      <c r="B16" s="12" t="s">
        <v>17</v>
      </c>
      <c r="C16" s="12"/>
      <c r="D16" s="37">
        <f>D11+D12+D13+D14</f>
        <v>440160.11</v>
      </c>
      <c r="E16" s="15"/>
      <c r="F16" s="14">
        <f>F11+F12+F13+F14</f>
        <v>440160.11</v>
      </c>
      <c r="G16" s="15"/>
      <c r="H16" s="28"/>
    </row>
    <row r="17" spans="1:9" x14ac:dyDescent="0.35">
      <c r="D17" s="38"/>
      <c r="H17" s="28"/>
    </row>
    <row r="18" spans="1:9" x14ac:dyDescent="0.35">
      <c r="A18" s="13">
        <f>A16+1</f>
        <v>8</v>
      </c>
      <c r="B18" s="12" t="s">
        <v>18</v>
      </c>
      <c r="C18" s="12"/>
      <c r="D18" s="37">
        <f>D19+D20+D21+D22</f>
        <v>2282512.73</v>
      </c>
      <c r="E18" s="31"/>
      <c r="F18" s="37">
        <f>F19+F20+F21+F22</f>
        <v>2283783.5</v>
      </c>
      <c r="G18" s="31"/>
      <c r="H18" s="39"/>
    </row>
    <row r="19" spans="1:9" x14ac:dyDescent="0.35">
      <c r="A19" s="13"/>
      <c r="B19" s="12"/>
      <c r="C19" s="12" t="s">
        <v>19</v>
      </c>
      <c r="D19" s="29">
        <f>605968.5</f>
        <v>605968.5</v>
      </c>
      <c r="E19" s="31"/>
      <c r="F19" s="29">
        <f>608050.5</f>
        <v>608050.5</v>
      </c>
      <c r="G19" s="31"/>
      <c r="H19" s="39"/>
      <c r="I19" s="39"/>
    </row>
    <row r="20" spans="1:9" x14ac:dyDescent="0.35">
      <c r="A20" s="13"/>
      <c r="B20" s="12"/>
      <c r="C20" s="12" t="s">
        <v>20</v>
      </c>
      <c r="D20" s="29">
        <v>74340</v>
      </c>
      <c r="E20" s="31" t="s">
        <v>21</v>
      </c>
      <c r="F20" s="29">
        <v>75938.899999999994</v>
      </c>
      <c r="G20" s="31" t="s">
        <v>22</v>
      </c>
    </row>
    <row r="21" spans="1:9" x14ac:dyDescent="0.35">
      <c r="A21" s="13"/>
      <c r="B21" s="12"/>
      <c r="C21" s="12" t="s">
        <v>23</v>
      </c>
      <c r="D21" s="29">
        <v>0</v>
      </c>
      <c r="E21" s="31"/>
      <c r="F21" s="29">
        <v>0</v>
      </c>
      <c r="G21" s="31"/>
    </row>
    <row r="22" spans="1:9" x14ac:dyDescent="0.35">
      <c r="A22" s="13"/>
      <c r="B22" s="12"/>
      <c r="C22" s="12" t="s">
        <v>24</v>
      </c>
      <c r="D22" s="29">
        <v>1602204.23</v>
      </c>
      <c r="E22" s="31"/>
      <c r="F22" s="29">
        <v>1599794.1</v>
      </c>
      <c r="G22" s="31"/>
    </row>
    <row r="23" spans="1:9" x14ac:dyDescent="0.35">
      <c r="A23" s="13"/>
      <c r="B23" s="12"/>
      <c r="C23" s="12"/>
      <c r="D23" s="29"/>
      <c r="E23" s="31"/>
      <c r="F23" s="29"/>
      <c r="G23" s="31"/>
    </row>
    <row r="24" spans="1:9" x14ac:dyDescent="0.35">
      <c r="A24" s="13">
        <v>9</v>
      </c>
      <c r="B24" s="12" t="s">
        <v>25</v>
      </c>
      <c r="C24" s="12"/>
      <c r="D24" s="28">
        <f>IF((D16/D18)&gt;=0.02,0.02*D18,D16)</f>
        <v>45650.2546</v>
      </c>
      <c r="E24" s="40"/>
      <c r="F24" s="28">
        <f>IF((F16/F18)&gt;=0.02,0.02*F18,F16)</f>
        <v>45675.67</v>
      </c>
      <c r="G24" s="40"/>
      <c r="H24" s="12"/>
    </row>
    <row r="25" spans="1:9" x14ac:dyDescent="0.35">
      <c r="A25" s="13"/>
      <c r="B25" s="12"/>
      <c r="C25" s="12"/>
      <c r="D25" s="40"/>
      <c r="E25" s="40"/>
      <c r="F25" s="40"/>
      <c r="G25" s="40"/>
      <c r="H25" s="12"/>
    </row>
    <row r="26" spans="1:9" x14ac:dyDescent="0.35">
      <c r="A26" s="13">
        <f>A24+1</f>
        <v>10</v>
      </c>
      <c r="B26" s="12" t="s">
        <v>26</v>
      </c>
      <c r="C26" s="12"/>
      <c r="D26" s="41">
        <f>(D11+D12+D13+D14)/D18</f>
        <v>0.19284015559466341</v>
      </c>
      <c r="E26" s="41"/>
      <c r="F26" s="41">
        <f>(F11+F12+F13+F14)/F18</f>
        <v>0.192732853179822</v>
      </c>
      <c r="G26" s="41"/>
      <c r="H26" s="12"/>
    </row>
    <row r="27" spans="1:9" x14ac:dyDescent="0.35">
      <c r="B27" s="12"/>
      <c r="C27" s="12"/>
      <c r="D27" s="41"/>
      <c r="E27" s="41"/>
      <c r="F27" s="41"/>
      <c r="G27" s="41"/>
      <c r="H27" s="12"/>
    </row>
    <row r="28" spans="1:9" x14ac:dyDescent="0.35">
      <c r="B28" s="12"/>
      <c r="C28" s="12"/>
      <c r="D28" s="41"/>
      <c r="E28" s="41"/>
      <c r="F28" s="41"/>
      <c r="G28" s="41"/>
      <c r="H28" s="12"/>
    </row>
    <row r="29" spans="1:9" x14ac:dyDescent="0.35">
      <c r="A29" s="197" t="s">
        <v>27</v>
      </c>
      <c r="B29" s="197"/>
      <c r="C29" s="42"/>
    </row>
    <row r="30" spans="1:9" ht="15.75" customHeight="1" x14ac:dyDescent="0.35">
      <c r="A30" s="43" t="s">
        <v>28</v>
      </c>
      <c r="B30" s="44"/>
      <c r="C30" s="44"/>
      <c r="D30" s="45" t="s">
        <v>29</v>
      </c>
    </row>
    <row r="31" spans="1:9" ht="15.75" customHeight="1" x14ac:dyDescent="0.35">
      <c r="A31" s="43" t="s">
        <v>30</v>
      </c>
      <c r="B31" s="43"/>
      <c r="C31" s="44"/>
    </row>
    <row r="32" spans="1:9" ht="15" customHeight="1" x14ac:dyDescent="0.35">
      <c r="A32" s="43" t="s">
        <v>31</v>
      </c>
      <c r="B32" s="43"/>
      <c r="C32" s="44"/>
    </row>
    <row r="33" spans="1:3" ht="15.75" customHeight="1" x14ac:dyDescent="0.35">
      <c r="A33" s="43" t="s">
        <v>32</v>
      </c>
      <c r="B33" s="43"/>
      <c r="C33" s="44"/>
    </row>
    <row r="34" spans="1:3" ht="15.75" customHeight="1" x14ac:dyDescent="0.35">
      <c r="A34" s="43" t="s">
        <v>33</v>
      </c>
      <c r="B34" s="43"/>
      <c r="C34" s="44"/>
    </row>
    <row r="35" spans="1:3" ht="15.75" customHeight="1" x14ac:dyDescent="0.35">
      <c r="A35" s="43" t="s">
        <v>34</v>
      </c>
      <c r="B35" s="43"/>
      <c r="C35" s="44"/>
    </row>
    <row r="36" spans="1:3" ht="15.75" customHeight="1" x14ac:dyDescent="0.35">
      <c r="A36" s="43" t="s">
        <v>35</v>
      </c>
      <c r="B36" s="43"/>
      <c r="C36" s="44"/>
    </row>
    <row r="37" spans="1:3" ht="15.75" customHeight="1" x14ac:dyDescent="0.35">
      <c r="A37" s="43" t="s">
        <v>36</v>
      </c>
      <c r="B37" s="43"/>
      <c r="C37" s="44"/>
    </row>
    <row r="39" spans="1:3" x14ac:dyDescent="0.35">
      <c r="A39" s="46" t="s">
        <v>37</v>
      </c>
    </row>
    <row r="41" spans="1:3" x14ac:dyDescent="0.35">
      <c r="A41" s="47"/>
    </row>
    <row r="42" spans="1:3" x14ac:dyDescent="0.35">
      <c r="A42" s="47"/>
    </row>
    <row r="43" spans="1:3" x14ac:dyDescent="0.35">
      <c r="A43" s="47"/>
    </row>
  </sheetData>
  <mergeCells count="1">
    <mergeCell ref="A29:B29"/>
  </mergeCells>
  <pageMargins left="0.25" right="0.25" top="0.75" bottom="0.75" header="0.3" footer="0.3"/>
  <pageSetup scale="86" orientation="portrait" r:id="rId1"/>
  <headerFooter>
    <oddHeader xml:space="preserve">&amp;RKY PSC CN 2020-00378  
 Staff's Data Request Set 1 No. 5 Attachment D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Layout" topLeftCell="B1" zoomScaleNormal="100" workbookViewId="0">
      <selection activeCell="L2" sqref="L2"/>
    </sheetView>
  </sheetViews>
  <sheetFormatPr defaultRowHeight="14.5" x14ac:dyDescent="0.35"/>
  <cols>
    <col min="1" max="1" width="15.26953125" customWidth="1"/>
    <col min="2" max="2" width="14.81640625" style="48" customWidth="1"/>
    <col min="3" max="3" width="9.26953125" style="48" customWidth="1"/>
    <col min="4" max="4" width="9.81640625" style="48" customWidth="1"/>
    <col min="5" max="5" width="7.81640625" style="48" customWidth="1"/>
    <col min="6" max="6" width="9.7265625" style="48" customWidth="1"/>
    <col min="7" max="7" width="10" style="49" customWidth="1"/>
    <col min="8" max="8" width="23.54296875" customWidth="1"/>
    <col min="9" max="9" width="1.453125" customWidth="1"/>
    <col min="10" max="10" width="15.26953125" style="50" customWidth="1"/>
    <col min="11" max="11" width="4.1796875" style="50" bestFit="1" customWidth="1"/>
    <col min="12" max="12" width="22.453125" customWidth="1"/>
    <col min="14" max="14" width="16" customWidth="1"/>
    <col min="15" max="15" width="12.81640625" customWidth="1"/>
    <col min="16" max="16" width="11.81640625" bestFit="1" customWidth="1"/>
  </cols>
  <sheetData>
    <row r="1" spans="1:14" ht="18.5" x14ac:dyDescent="0.45">
      <c r="A1" s="1" t="s">
        <v>38</v>
      </c>
    </row>
    <row r="2" spans="1:14" ht="18.5" x14ac:dyDescent="0.45">
      <c r="A2" s="1"/>
    </row>
    <row r="3" spans="1:14" ht="18.5" x14ac:dyDescent="0.45">
      <c r="A3" s="1" t="s">
        <v>39</v>
      </c>
      <c r="B3" s="51">
        <f>'November 20 TCPS CALC'!C3</f>
        <v>44136</v>
      </c>
      <c r="C3" s="52"/>
    </row>
    <row r="5" spans="1:14" x14ac:dyDescent="0.35">
      <c r="D5" s="53" t="s">
        <v>40</v>
      </c>
      <c r="E5" s="53" t="s">
        <v>41</v>
      </c>
    </row>
    <row r="6" spans="1:14" x14ac:dyDescent="0.35">
      <c r="C6" s="54" t="s">
        <v>42</v>
      </c>
      <c r="D6" s="54" t="s">
        <v>43</v>
      </c>
      <c r="E6" s="54" t="s">
        <v>44</v>
      </c>
      <c r="F6" s="54" t="s">
        <v>45</v>
      </c>
      <c r="G6" s="55" t="s">
        <v>46</v>
      </c>
      <c r="H6" s="54" t="s">
        <v>47</v>
      </c>
      <c r="J6" s="56" t="s">
        <v>48</v>
      </c>
      <c r="K6" s="56"/>
      <c r="L6" s="56" t="s">
        <v>49</v>
      </c>
    </row>
    <row r="7" spans="1:14" x14ac:dyDescent="0.35">
      <c r="A7" t="s">
        <v>50</v>
      </c>
      <c r="B7" s="48" t="s">
        <v>51</v>
      </c>
      <c r="C7" s="48" t="s">
        <v>52</v>
      </c>
      <c r="D7" s="48">
        <v>352234</v>
      </c>
      <c r="E7" s="48" t="s">
        <v>53</v>
      </c>
      <c r="F7" s="57">
        <v>16000</v>
      </c>
      <c r="G7" s="58">
        <v>4.5805999999999996</v>
      </c>
      <c r="H7" s="59" t="s">
        <v>54</v>
      </c>
      <c r="J7" s="50">
        <f>F7*G7</f>
        <v>73289.599999999991</v>
      </c>
      <c r="K7" s="60"/>
      <c r="L7" s="50">
        <f>F7*G7</f>
        <v>73289.599999999991</v>
      </c>
      <c r="M7" s="61"/>
      <c r="N7" s="50"/>
    </row>
    <row r="8" spans="1:14" x14ac:dyDescent="0.35">
      <c r="C8" s="48" t="s">
        <v>55</v>
      </c>
      <c r="D8" s="48">
        <v>80160</v>
      </c>
      <c r="E8" s="48" t="s">
        <v>56</v>
      </c>
      <c r="F8" s="57">
        <v>209880</v>
      </c>
      <c r="G8" s="58">
        <v>4.8558000000000003</v>
      </c>
      <c r="H8" s="59" t="s">
        <v>54</v>
      </c>
      <c r="J8" s="62">
        <f>F8*G8</f>
        <v>1019135.3040000001</v>
      </c>
      <c r="K8" s="63"/>
      <c r="L8" s="50">
        <f>F8*G8</f>
        <v>1019135.3040000001</v>
      </c>
      <c r="N8" s="50"/>
    </row>
    <row r="9" spans="1:14" x14ac:dyDescent="0.35">
      <c r="F9" s="57"/>
      <c r="G9" s="58"/>
      <c r="H9" s="64" t="s">
        <v>57</v>
      </c>
      <c r="I9" s="65"/>
      <c r="J9" s="66">
        <f>SUM(J7:J8)</f>
        <v>1092424.9040000001</v>
      </c>
      <c r="K9" s="67"/>
      <c r="L9" s="66">
        <f>SUM(L7:L8)</f>
        <v>1092424.9040000001</v>
      </c>
    </row>
    <row r="10" spans="1:14" x14ac:dyDescent="0.35">
      <c r="D10" s="48">
        <v>0</v>
      </c>
      <c r="F10" s="57"/>
      <c r="G10" s="58"/>
      <c r="H10" s="59"/>
      <c r="K10" s="68"/>
      <c r="L10" s="50"/>
    </row>
    <row r="11" spans="1:14" x14ac:dyDescent="0.35">
      <c r="D11" s="48">
        <v>0</v>
      </c>
      <c r="F11" s="69"/>
      <c r="G11" s="70" t="s">
        <v>58</v>
      </c>
      <c r="H11" s="59"/>
      <c r="K11" s="68"/>
      <c r="L11" s="50"/>
    </row>
    <row r="12" spans="1:14" x14ac:dyDescent="0.35">
      <c r="A12" t="s">
        <v>59</v>
      </c>
      <c r="B12" s="48" t="s">
        <v>60</v>
      </c>
      <c r="C12" s="48" t="s">
        <v>52</v>
      </c>
      <c r="D12" s="48">
        <v>352234</v>
      </c>
      <c r="E12" s="48" t="s">
        <v>53</v>
      </c>
      <c r="F12" s="57">
        <v>16000</v>
      </c>
      <c r="G12" s="58">
        <v>4.5805999999999996</v>
      </c>
      <c r="H12" s="59" t="s">
        <v>61</v>
      </c>
      <c r="J12" s="50">
        <f>F12*G12</f>
        <v>73289.599999999991</v>
      </c>
      <c r="K12" s="60"/>
      <c r="L12" s="71">
        <f>F12*G12</f>
        <v>73289.599999999991</v>
      </c>
      <c r="N12" s="50"/>
    </row>
    <row r="13" spans="1:14" x14ac:dyDescent="0.35">
      <c r="C13" s="48" t="s">
        <v>55</v>
      </c>
      <c r="D13" s="48">
        <v>80160</v>
      </c>
      <c r="E13" s="48" t="s">
        <v>56</v>
      </c>
      <c r="F13" s="57">
        <v>209880</v>
      </c>
      <c r="G13" s="58">
        <v>4.1849999999999996</v>
      </c>
      <c r="H13" s="59" t="s">
        <v>61</v>
      </c>
      <c r="J13" s="62">
        <f>F13*G13</f>
        <v>878347.79999999993</v>
      </c>
      <c r="K13" s="63"/>
      <c r="L13" s="71">
        <f>F13*G13</f>
        <v>878347.79999999993</v>
      </c>
      <c r="N13" s="50"/>
    </row>
    <row r="14" spans="1:14" x14ac:dyDescent="0.35">
      <c r="F14" s="57"/>
      <c r="G14" s="58"/>
      <c r="H14" s="72" t="s">
        <v>62</v>
      </c>
      <c r="I14" s="73"/>
      <c r="J14" s="66">
        <f>SUM(J12:J13)</f>
        <v>951637.39999999991</v>
      </c>
      <c r="K14" s="74"/>
      <c r="L14" s="75">
        <f>SUM(L12:L13)</f>
        <v>951637.39999999991</v>
      </c>
      <c r="N14" s="50"/>
    </row>
    <row r="15" spans="1:14" x14ac:dyDescent="0.35">
      <c r="A15" s="76"/>
      <c r="C15" s="53"/>
      <c r="D15" s="53"/>
      <c r="E15" s="53"/>
      <c r="F15" s="77"/>
      <c r="G15" s="78"/>
      <c r="H15" s="79"/>
      <c r="I15" s="80"/>
      <c r="J15" s="81"/>
      <c r="K15" s="62"/>
      <c r="L15" s="81"/>
      <c r="N15" s="50"/>
    </row>
    <row r="16" spans="1:14" x14ac:dyDescent="0.35">
      <c r="F16" s="198" t="s">
        <v>63</v>
      </c>
      <c r="G16" s="198"/>
      <c r="H16" s="198"/>
      <c r="J16" s="82">
        <f>J9-J14</f>
        <v>140787.50400000019</v>
      </c>
      <c r="K16" s="82"/>
      <c r="L16" s="82">
        <f>L9-L14</f>
        <v>140787.50400000019</v>
      </c>
    </row>
    <row r="17" spans="1:16" x14ac:dyDescent="0.35">
      <c r="H17" s="59"/>
      <c r="L17" s="50"/>
    </row>
    <row r="18" spans="1:16" x14ac:dyDescent="0.35">
      <c r="A18" s="80" t="s">
        <v>64</v>
      </c>
      <c r="C18" s="53" t="s">
        <v>55</v>
      </c>
      <c r="D18" s="53" t="s">
        <v>56</v>
      </c>
      <c r="F18" s="57">
        <v>10000</v>
      </c>
      <c r="G18" s="58">
        <v>1.5</v>
      </c>
      <c r="H18" s="59"/>
      <c r="J18" s="62">
        <v>15000</v>
      </c>
      <c r="L18" s="62">
        <v>15000</v>
      </c>
    </row>
    <row r="19" spans="1:16" x14ac:dyDescent="0.35">
      <c r="A19" s="80" t="s">
        <v>64</v>
      </c>
      <c r="C19" s="53" t="s">
        <v>55</v>
      </c>
      <c r="D19" s="53" t="s">
        <v>56</v>
      </c>
      <c r="F19" s="57">
        <v>10000</v>
      </c>
      <c r="G19" s="58">
        <v>1.5</v>
      </c>
      <c r="H19" s="59"/>
      <c r="J19" s="62">
        <v>15000</v>
      </c>
      <c r="L19" s="62">
        <v>15000</v>
      </c>
    </row>
    <row r="20" spans="1:16" x14ac:dyDescent="0.35">
      <c r="A20" s="80" t="s">
        <v>64</v>
      </c>
      <c r="C20" s="53" t="s">
        <v>55</v>
      </c>
      <c r="D20" s="53" t="s">
        <v>56</v>
      </c>
      <c r="F20" s="57">
        <v>10000</v>
      </c>
      <c r="G20" s="58">
        <v>1.5</v>
      </c>
      <c r="H20" s="59"/>
      <c r="J20" s="62">
        <v>15000</v>
      </c>
      <c r="L20" s="62">
        <v>15000</v>
      </c>
    </row>
    <row r="21" spans="1:16" x14ac:dyDescent="0.35">
      <c r="A21" s="80" t="s">
        <v>64</v>
      </c>
      <c r="C21" s="53" t="s">
        <v>55</v>
      </c>
      <c r="D21" s="53" t="s">
        <v>56</v>
      </c>
      <c r="F21" s="57">
        <v>500</v>
      </c>
      <c r="G21" s="58">
        <v>1.65</v>
      </c>
      <c r="H21" s="59"/>
      <c r="J21" s="62">
        <v>825</v>
      </c>
      <c r="L21" s="62">
        <v>825</v>
      </c>
    </row>
    <row r="22" spans="1:16" x14ac:dyDescent="0.35">
      <c r="A22" s="80" t="s">
        <v>64</v>
      </c>
      <c r="C22" s="53" t="s">
        <v>55</v>
      </c>
      <c r="D22" s="53" t="s">
        <v>56</v>
      </c>
      <c r="F22" s="57">
        <v>7000</v>
      </c>
      <c r="G22" s="58">
        <v>1.8</v>
      </c>
      <c r="H22" s="59"/>
      <c r="J22" s="62">
        <v>12600</v>
      </c>
      <c r="L22" s="62">
        <v>12600</v>
      </c>
    </row>
    <row r="23" spans="1:16" x14ac:dyDescent="0.35">
      <c r="A23" s="80" t="s">
        <v>64</v>
      </c>
      <c r="C23" s="53" t="s">
        <v>55</v>
      </c>
      <c r="D23" s="53" t="s">
        <v>56</v>
      </c>
      <c r="F23" s="57">
        <v>20000</v>
      </c>
      <c r="G23" s="58">
        <v>1.4</v>
      </c>
      <c r="H23" s="59"/>
      <c r="J23" s="62">
        <v>28000</v>
      </c>
      <c r="L23" s="62">
        <v>28000</v>
      </c>
    </row>
    <row r="24" spans="1:16" x14ac:dyDescent="0.35">
      <c r="H24" s="59"/>
      <c r="L24" s="50"/>
    </row>
    <row r="25" spans="1:16" x14ac:dyDescent="0.35">
      <c r="F25" s="198" t="s">
        <v>68</v>
      </c>
      <c r="G25" s="198"/>
      <c r="H25" s="198"/>
      <c r="J25" s="82">
        <f>SUM(J18:J24)</f>
        <v>86425</v>
      </c>
      <c r="L25" s="82">
        <f>SUM(L18:L24)</f>
        <v>86425</v>
      </c>
    </row>
    <row r="26" spans="1:16" x14ac:dyDescent="0.35">
      <c r="H26" s="59"/>
      <c r="L26" s="50"/>
    </row>
    <row r="27" spans="1:16" x14ac:dyDescent="0.35">
      <c r="H27" s="79" t="s">
        <v>69</v>
      </c>
      <c r="J27" s="83">
        <f>J16+J25</f>
        <v>227212.50400000019</v>
      </c>
      <c r="K27" s="84"/>
      <c r="L27" s="83">
        <f>L16+L25</f>
        <v>227212.50400000019</v>
      </c>
      <c r="N27" s="50"/>
      <c r="O27" s="50"/>
      <c r="P27" s="50"/>
    </row>
    <row r="29" spans="1:16" x14ac:dyDescent="0.35">
      <c r="A29" s="199" t="s">
        <v>70</v>
      </c>
      <c r="B29" s="200"/>
      <c r="C29" s="200"/>
      <c r="D29" s="200"/>
      <c r="E29" s="200"/>
      <c r="F29" s="200"/>
      <c r="G29" s="201"/>
    </row>
    <row r="30" spans="1:16" x14ac:dyDescent="0.35">
      <c r="A30" s="85"/>
      <c r="B30" s="86">
        <f>B3</f>
        <v>44136</v>
      </c>
      <c r="C30" s="87" t="s">
        <v>71</v>
      </c>
      <c r="D30" s="88" t="s">
        <v>72</v>
      </c>
      <c r="E30" s="88"/>
      <c r="F30" s="88"/>
      <c r="G30" s="89"/>
    </row>
    <row r="31" spans="1:16" x14ac:dyDescent="0.35">
      <c r="A31" s="90"/>
      <c r="B31" s="91" t="s">
        <v>73</v>
      </c>
      <c r="C31" s="88" t="s">
        <v>74</v>
      </c>
      <c r="D31" s="88" t="s">
        <v>75</v>
      </c>
      <c r="E31" s="202" t="s">
        <v>76</v>
      </c>
      <c r="F31" s="202"/>
      <c r="G31" s="89"/>
    </row>
    <row r="32" spans="1:16" x14ac:dyDescent="0.35">
      <c r="A32" s="92" t="s">
        <v>77</v>
      </c>
      <c r="B32" s="93">
        <v>6.891</v>
      </c>
      <c r="C32" s="94">
        <v>5.9390000000000001</v>
      </c>
      <c r="D32" s="95">
        <f>(B32/C32)-1</f>
        <v>0.16029634618622657</v>
      </c>
      <c r="E32" s="203">
        <f>(4.185*(D32+1))</f>
        <v>4.855840208789358</v>
      </c>
      <c r="F32" s="204"/>
      <c r="G32" s="89"/>
    </row>
    <row r="33" spans="1:7" x14ac:dyDescent="0.35">
      <c r="A33" s="92"/>
      <c r="B33" s="88"/>
      <c r="C33" s="88"/>
      <c r="D33" s="88"/>
      <c r="E33" s="88"/>
      <c r="F33" s="88"/>
      <c r="G33" s="89"/>
    </row>
    <row r="34" spans="1:7" x14ac:dyDescent="0.35">
      <c r="A34" s="96" t="s">
        <v>78</v>
      </c>
      <c r="B34" s="97"/>
      <c r="C34" s="97"/>
      <c r="D34" s="97"/>
      <c r="E34" s="97"/>
      <c r="F34" s="97"/>
      <c r="G34" s="98"/>
    </row>
    <row r="36" spans="1:7" x14ac:dyDescent="0.35">
      <c r="A36" s="80" t="s">
        <v>79</v>
      </c>
      <c r="B36" s="99" t="s">
        <v>80</v>
      </c>
      <c r="C36" s="99"/>
      <c r="D36" s="99"/>
      <c r="E36" s="99"/>
      <c r="F36" s="99"/>
      <c r="G36" s="100"/>
    </row>
    <row r="37" spans="1:7" x14ac:dyDescent="0.35">
      <c r="A37" s="80"/>
      <c r="B37" s="99"/>
      <c r="C37" s="99"/>
      <c r="D37" s="99"/>
      <c r="E37" s="99"/>
      <c r="F37" s="99"/>
      <c r="G37" s="100"/>
    </row>
    <row r="38" spans="1:7" x14ac:dyDescent="0.35">
      <c r="A38" s="80" t="s">
        <v>81</v>
      </c>
      <c r="B38" s="99" t="s">
        <v>82</v>
      </c>
      <c r="C38" s="99"/>
      <c r="D38" s="99"/>
      <c r="E38" s="99"/>
      <c r="F38" s="99"/>
      <c r="G38" s="100"/>
    </row>
    <row r="39" spans="1:7" x14ac:dyDescent="0.35">
      <c r="A39" s="80"/>
      <c r="B39" s="99"/>
      <c r="C39" s="99"/>
      <c r="D39" s="99"/>
      <c r="E39" s="99"/>
      <c r="F39" s="99"/>
      <c r="G39" s="100"/>
    </row>
    <row r="40" spans="1:7" x14ac:dyDescent="0.35">
      <c r="A40" s="80" t="s">
        <v>83</v>
      </c>
      <c r="B40" s="99" t="s">
        <v>84</v>
      </c>
      <c r="C40" s="99"/>
      <c r="D40" s="99"/>
      <c r="E40" s="99"/>
      <c r="F40" s="99"/>
      <c r="G40" s="100"/>
    </row>
    <row r="41" spans="1:7" x14ac:dyDescent="0.35">
      <c r="A41" s="80"/>
    </row>
  </sheetData>
  <mergeCells count="5">
    <mergeCell ref="F16:H16"/>
    <mergeCell ref="F25:H25"/>
    <mergeCell ref="A29:G29"/>
    <mergeCell ref="E31:F31"/>
    <mergeCell ref="E32:F32"/>
  </mergeCells>
  <pageMargins left="0.17" right="0.17" top="0.66" bottom="0.55000000000000004" header="0.24" footer="0.33"/>
  <pageSetup scale="72" fitToHeight="0" orientation="portrait" r:id="rId1"/>
  <headerFooter>
    <oddHeader xml:space="preserve">&amp;RKY PSC CN 2020-00378  
 Staff's Data Request Set 1 No. 5 Attachment D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view="pageLayout" zoomScaleNormal="100" workbookViewId="0">
      <selection activeCell="J4" sqref="J4"/>
    </sheetView>
  </sheetViews>
  <sheetFormatPr defaultColWidth="9.1796875" defaultRowHeight="12.5" x14ac:dyDescent="0.25"/>
  <cols>
    <col min="1" max="1" width="9.1796875" style="109" customWidth="1"/>
    <col min="2" max="2" width="10.1796875" style="103" customWidth="1"/>
    <col min="3" max="3" width="11.1796875" style="103" customWidth="1"/>
    <col min="4" max="4" width="9.26953125" style="103" customWidth="1"/>
    <col min="5" max="5" width="10.81640625" style="103" customWidth="1"/>
    <col min="6" max="6" width="13.26953125" style="103" customWidth="1"/>
    <col min="7" max="7" width="13" style="103" customWidth="1"/>
    <col min="8" max="8" width="10.1796875" style="103" customWidth="1"/>
    <col min="9" max="9" width="14.54296875" style="103" customWidth="1"/>
    <col min="10" max="13" width="10.1796875" style="103" customWidth="1"/>
    <col min="14" max="14" width="8.453125" style="103" hidden="1" customWidth="1"/>
    <col min="15" max="15" width="1.453125" style="104" customWidth="1"/>
    <col min="16" max="16" width="11" style="104" hidden="1" customWidth="1"/>
    <col min="17" max="17" width="11.453125" style="104" customWidth="1"/>
    <col min="18" max="16384" width="9.1796875" style="104"/>
  </cols>
  <sheetData>
    <row r="1" spans="1:16" ht="18" x14ac:dyDescent="0.4">
      <c r="A1" s="101" t="s">
        <v>85</v>
      </c>
      <c r="B1" s="102"/>
      <c r="C1" s="102"/>
      <c r="D1" s="102"/>
    </row>
    <row r="2" spans="1:16" ht="18" x14ac:dyDescent="0.4">
      <c r="A2" s="101"/>
      <c r="B2" s="102"/>
      <c r="C2" s="102"/>
      <c r="D2" s="102"/>
    </row>
    <row r="3" spans="1:16" ht="18" x14ac:dyDescent="0.4">
      <c r="A3" s="101" t="s">
        <v>86</v>
      </c>
      <c r="B3" s="105"/>
      <c r="C3" s="106">
        <f>'November 20 TCPS CALC'!C3</f>
        <v>44136</v>
      </c>
      <c r="E3" s="107"/>
      <c r="F3" s="107"/>
      <c r="G3" s="107"/>
      <c r="H3" s="107"/>
      <c r="I3" s="107"/>
      <c r="J3" s="107"/>
      <c r="K3" s="107"/>
      <c r="L3" s="107"/>
      <c r="M3" s="108"/>
    </row>
    <row r="5" spans="1:16" ht="13" thickBot="1" x14ac:dyDescent="0.3"/>
    <row r="6" spans="1:16" ht="13" x14ac:dyDescent="0.3">
      <c r="H6" s="206" t="s">
        <v>87</v>
      </c>
      <c r="I6" s="207"/>
      <c r="J6" s="207"/>
      <c r="K6" s="208" t="s">
        <v>88</v>
      </c>
      <c r="L6" s="209"/>
      <c r="M6" s="210"/>
      <c r="P6" s="103" t="s">
        <v>89</v>
      </c>
    </row>
    <row r="7" spans="1:16" ht="13" x14ac:dyDescent="0.3">
      <c r="A7" s="110" t="s">
        <v>90</v>
      </c>
      <c r="B7" s="211" t="s">
        <v>91</v>
      </c>
      <c r="C7" s="212"/>
      <c r="D7" s="213"/>
      <c r="E7" s="214" t="s">
        <v>92</v>
      </c>
      <c r="F7" s="215"/>
      <c r="G7" s="216"/>
      <c r="H7" s="212" t="s">
        <v>93</v>
      </c>
      <c r="I7" s="212"/>
      <c r="J7" s="212"/>
      <c r="K7" s="217" t="s">
        <v>94</v>
      </c>
      <c r="L7" s="218"/>
      <c r="M7" s="219"/>
      <c r="P7" s="103" t="s">
        <v>95</v>
      </c>
    </row>
    <row r="8" spans="1:16" ht="13" x14ac:dyDescent="0.3">
      <c r="A8" s="111" t="s">
        <v>96</v>
      </c>
      <c r="B8" s="112" t="s">
        <v>97</v>
      </c>
      <c r="C8" s="113" t="s">
        <v>98</v>
      </c>
      <c r="D8" s="114" t="s">
        <v>99</v>
      </c>
      <c r="E8" s="115" t="s">
        <v>97</v>
      </c>
      <c r="F8" s="116" t="s">
        <v>98</v>
      </c>
      <c r="G8" s="117" t="s">
        <v>99</v>
      </c>
      <c r="H8" s="113" t="s">
        <v>97</v>
      </c>
      <c r="I8" s="113" t="s">
        <v>98</v>
      </c>
      <c r="J8" s="113" t="s">
        <v>99</v>
      </c>
      <c r="K8" s="118" t="s">
        <v>97</v>
      </c>
      <c r="L8" s="119" t="s">
        <v>98</v>
      </c>
      <c r="M8" s="120" t="s">
        <v>99</v>
      </c>
      <c r="N8" s="121" t="s">
        <v>96</v>
      </c>
      <c r="P8" s="122" t="s">
        <v>100</v>
      </c>
    </row>
    <row r="9" spans="1:16" ht="13" x14ac:dyDescent="0.3">
      <c r="A9" s="123"/>
      <c r="B9" s="124"/>
      <c r="C9" s="125"/>
      <c r="D9" s="126"/>
      <c r="E9" s="127"/>
      <c r="F9" s="128"/>
      <c r="G9" s="129"/>
      <c r="H9" s="130"/>
      <c r="I9" s="130" t="s">
        <v>101</v>
      </c>
      <c r="J9" s="131"/>
      <c r="K9" s="132"/>
      <c r="L9" s="133"/>
      <c r="M9" s="134"/>
    </row>
    <row r="10" spans="1:16" ht="13" x14ac:dyDescent="0.3">
      <c r="A10" s="109">
        <f>C3</f>
        <v>44136</v>
      </c>
      <c r="B10" s="135">
        <v>2.25</v>
      </c>
      <c r="C10" s="136">
        <v>2.68</v>
      </c>
      <c r="D10" s="137">
        <v>2.85</v>
      </c>
      <c r="E10" s="138">
        <v>2.335</v>
      </c>
      <c r="F10" s="139">
        <v>2.84</v>
      </c>
      <c r="G10" s="140">
        <v>2.9849999999999999</v>
      </c>
      <c r="H10" s="135">
        <v>2.3199999999999998</v>
      </c>
      <c r="I10" s="136">
        <v>2.8</v>
      </c>
      <c r="J10" s="137">
        <v>2.94</v>
      </c>
      <c r="K10" s="141">
        <f t="shared" ref="K10:M37" si="0">AVERAGE(B10,E10,H10)</f>
        <v>2.3016666666666663</v>
      </c>
      <c r="L10" s="142">
        <f t="shared" si="0"/>
        <v>2.7733333333333334</v>
      </c>
      <c r="M10" s="143">
        <f t="shared" si="0"/>
        <v>2.9250000000000003</v>
      </c>
      <c r="N10" s="109">
        <f t="shared" ref="N10:N39" si="1">A10</f>
        <v>44136</v>
      </c>
      <c r="P10" s="144">
        <f>H10-E10</f>
        <v>-1.5000000000000124E-2</v>
      </c>
    </row>
    <row r="11" spans="1:16" x14ac:dyDescent="0.25">
      <c r="A11" s="109">
        <f>A10+1</f>
        <v>44137</v>
      </c>
      <c r="B11" s="145">
        <f t="shared" ref="B11:B39" si="2">$B$10</f>
        <v>2.25</v>
      </c>
      <c r="C11" s="146">
        <f>$C$10</f>
        <v>2.68</v>
      </c>
      <c r="D11" s="147">
        <f>$D$10</f>
        <v>2.85</v>
      </c>
      <c r="E11" s="138">
        <v>2.335</v>
      </c>
      <c r="F11" s="139">
        <v>2.84</v>
      </c>
      <c r="G11" s="140">
        <v>2.9849999999999999</v>
      </c>
      <c r="H11" s="148">
        <f>H10</f>
        <v>2.3199999999999998</v>
      </c>
      <c r="I11" s="148">
        <f>I10</f>
        <v>2.8</v>
      </c>
      <c r="J11" s="148">
        <f>J10</f>
        <v>2.94</v>
      </c>
      <c r="K11" s="141">
        <f t="shared" si="0"/>
        <v>2.3016666666666663</v>
      </c>
      <c r="L11" s="142">
        <f t="shared" si="0"/>
        <v>2.7733333333333334</v>
      </c>
      <c r="M11" s="143">
        <f t="shared" si="0"/>
        <v>2.9250000000000003</v>
      </c>
      <c r="N11" s="149">
        <f t="shared" si="1"/>
        <v>44137</v>
      </c>
      <c r="P11" s="144">
        <f t="shared" ref="P11:P39" si="3">H11-E11</f>
        <v>-1.5000000000000124E-2</v>
      </c>
    </row>
    <row r="12" spans="1:16" ht="13" x14ac:dyDescent="0.3">
      <c r="A12" s="109">
        <f t="shared" ref="A12:A39" si="4">A11+1</f>
        <v>44138</v>
      </c>
      <c r="B12" s="145">
        <f t="shared" si="2"/>
        <v>2.25</v>
      </c>
      <c r="C12" s="146">
        <f t="shared" ref="C12:C39" si="5">$C$10</f>
        <v>2.68</v>
      </c>
      <c r="D12" s="147">
        <f t="shared" ref="D12:D39" si="6">$D$10</f>
        <v>2.85</v>
      </c>
      <c r="E12" s="138">
        <v>2.1549999999999998</v>
      </c>
      <c r="F12" s="139">
        <v>2.79</v>
      </c>
      <c r="G12" s="140">
        <v>2.91</v>
      </c>
      <c r="H12" s="158">
        <v>0.94</v>
      </c>
      <c r="I12" s="158">
        <v>2.15</v>
      </c>
      <c r="J12" s="158">
        <v>2.52</v>
      </c>
      <c r="K12" s="141">
        <f t="shared" si="0"/>
        <v>1.7816666666666663</v>
      </c>
      <c r="L12" s="142">
        <f t="shared" si="0"/>
        <v>2.5400000000000005</v>
      </c>
      <c r="M12" s="143">
        <f t="shared" si="0"/>
        <v>2.76</v>
      </c>
      <c r="N12" s="109">
        <f t="shared" si="1"/>
        <v>44138</v>
      </c>
      <c r="P12" s="144">
        <f t="shared" si="3"/>
        <v>-1.2149999999999999</v>
      </c>
    </row>
    <row r="13" spans="1:16" x14ac:dyDescent="0.25">
      <c r="A13" s="109">
        <f t="shared" si="4"/>
        <v>44139</v>
      </c>
      <c r="B13" s="145">
        <f t="shared" si="2"/>
        <v>2.25</v>
      </c>
      <c r="C13" s="146">
        <f t="shared" si="5"/>
        <v>2.68</v>
      </c>
      <c r="D13" s="147">
        <f t="shared" si="6"/>
        <v>2.85</v>
      </c>
      <c r="E13" s="138">
        <v>1.5449999999999999</v>
      </c>
      <c r="F13" s="139">
        <v>2.5750000000000002</v>
      </c>
      <c r="G13" s="140">
        <v>2.73</v>
      </c>
      <c r="H13" s="148">
        <f t="shared" ref="H13:J18" si="7">H12</f>
        <v>0.94</v>
      </c>
      <c r="I13" s="148">
        <f t="shared" si="7"/>
        <v>2.15</v>
      </c>
      <c r="J13" s="148">
        <f t="shared" si="7"/>
        <v>2.52</v>
      </c>
      <c r="K13" s="141">
        <f t="shared" si="0"/>
        <v>1.5783333333333331</v>
      </c>
      <c r="L13" s="142">
        <f t="shared" si="0"/>
        <v>2.4683333333333337</v>
      </c>
      <c r="M13" s="143">
        <f t="shared" si="0"/>
        <v>2.6999999999999997</v>
      </c>
      <c r="N13" s="109">
        <f t="shared" si="1"/>
        <v>44139</v>
      </c>
      <c r="P13" s="144">
        <f t="shared" si="3"/>
        <v>-0.60499999999999998</v>
      </c>
    </row>
    <row r="14" spans="1:16" s="155" customFormat="1" x14ac:dyDescent="0.25">
      <c r="A14" s="150">
        <f t="shared" si="4"/>
        <v>44140</v>
      </c>
      <c r="B14" s="145">
        <f t="shared" si="2"/>
        <v>2.25</v>
      </c>
      <c r="C14" s="146">
        <f t="shared" si="5"/>
        <v>2.68</v>
      </c>
      <c r="D14" s="147">
        <f t="shared" si="6"/>
        <v>2.85</v>
      </c>
      <c r="E14" s="138">
        <v>1.4950000000000001</v>
      </c>
      <c r="F14" s="139">
        <v>2.3250000000000002</v>
      </c>
      <c r="G14" s="140">
        <v>2.4950000000000001</v>
      </c>
      <c r="H14" s="148">
        <f t="shared" si="7"/>
        <v>0.94</v>
      </c>
      <c r="I14" s="148">
        <f t="shared" si="7"/>
        <v>2.15</v>
      </c>
      <c r="J14" s="148">
        <f t="shared" si="7"/>
        <v>2.52</v>
      </c>
      <c r="K14" s="151">
        <f t="shared" si="0"/>
        <v>1.5616666666666668</v>
      </c>
      <c r="L14" s="152">
        <f t="shared" si="0"/>
        <v>2.3850000000000002</v>
      </c>
      <c r="M14" s="153">
        <f t="shared" si="0"/>
        <v>2.6216666666666666</v>
      </c>
      <c r="N14" s="154">
        <f t="shared" si="1"/>
        <v>44140</v>
      </c>
      <c r="P14" s="156">
        <f t="shared" si="3"/>
        <v>-0.55500000000000016</v>
      </c>
    </row>
    <row r="15" spans="1:16" s="155" customFormat="1" x14ac:dyDescent="0.25">
      <c r="A15" s="150">
        <f t="shared" si="4"/>
        <v>44141</v>
      </c>
      <c r="B15" s="145">
        <f t="shared" si="2"/>
        <v>2.25</v>
      </c>
      <c r="C15" s="146">
        <f t="shared" si="5"/>
        <v>2.68</v>
      </c>
      <c r="D15" s="147">
        <f t="shared" si="6"/>
        <v>2.85</v>
      </c>
      <c r="E15" s="138">
        <v>0.47</v>
      </c>
      <c r="F15" s="139">
        <v>2.19</v>
      </c>
      <c r="G15" s="140">
        <v>2.58</v>
      </c>
      <c r="H15" s="148">
        <f t="shared" si="7"/>
        <v>0.94</v>
      </c>
      <c r="I15" s="148">
        <f t="shared" si="7"/>
        <v>2.15</v>
      </c>
      <c r="J15" s="148">
        <f t="shared" si="7"/>
        <v>2.52</v>
      </c>
      <c r="K15" s="151">
        <f t="shared" si="0"/>
        <v>1.22</v>
      </c>
      <c r="L15" s="152">
        <f t="shared" si="0"/>
        <v>2.34</v>
      </c>
      <c r="M15" s="153">
        <f t="shared" si="0"/>
        <v>2.65</v>
      </c>
      <c r="N15" s="154">
        <f t="shared" si="1"/>
        <v>44141</v>
      </c>
      <c r="P15" s="144">
        <f t="shared" si="3"/>
        <v>0.47</v>
      </c>
    </row>
    <row r="16" spans="1:16" s="155" customFormat="1" ht="13" x14ac:dyDescent="0.3">
      <c r="A16" s="150">
        <f t="shared" si="4"/>
        <v>44142</v>
      </c>
      <c r="B16" s="145">
        <f t="shared" si="2"/>
        <v>2.25</v>
      </c>
      <c r="C16" s="146">
        <f t="shared" si="5"/>
        <v>2.68</v>
      </c>
      <c r="D16" s="147">
        <f t="shared" si="6"/>
        <v>2.85</v>
      </c>
      <c r="E16" s="138">
        <v>0.33</v>
      </c>
      <c r="F16" s="139">
        <v>1.885</v>
      </c>
      <c r="G16" s="140">
        <v>2.4750000000000001</v>
      </c>
      <c r="H16" s="148">
        <f t="shared" si="7"/>
        <v>0.94</v>
      </c>
      <c r="I16" s="148">
        <f t="shared" si="7"/>
        <v>2.15</v>
      </c>
      <c r="J16" s="148">
        <f t="shared" si="7"/>
        <v>2.52</v>
      </c>
      <c r="K16" s="151">
        <f t="shared" si="0"/>
        <v>1.1733333333333333</v>
      </c>
      <c r="L16" s="152">
        <f t="shared" si="0"/>
        <v>2.2383333333333333</v>
      </c>
      <c r="M16" s="153">
        <f t="shared" si="0"/>
        <v>2.6150000000000002</v>
      </c>
      <c r="N16" s="157">
        <f t="shared" si="1"/>
        <v>44142</v>
      </c>
      <c r="P16" s="144">
        <f t="shared" si="3"/>
        <v>0.60999999999999988</v>
      </c>
    </row>
    <row r="17" spans="1:16" s="155" customFormat="1" x14ac:dyDescent="0.25">
      <c r="A17" s="150">
        <f t="shared" si="4"/>
        <v>44143</v>
      </c>
      <c r="B17" s="145">
        <f t="shared" si="2"/>
        <v>2.25</v>
      </c>
      <c r="C17" s="146">
        <f t="shared" si="5"/>
        <v>2.68</v>
      </c>
      <c r="D17" s="147">
        <f t="shared" si="6"/>
        <v>2.85</v>
      </c>
      <c r="E17" s="138">
        <v>0.33</v>
      </c>
      <c r="F17" s="139">
        <v>1.885</v>
      </c>
      <c r="G17" s="140">
        <v>2.4750000000000001</v>
      </c>
      <c r="H17" s="148">
        <f t="shared" si="7"/>
        <v>0.94</v>
      </c>
      <c r="I17" s="148">
        <f t="shared" si="7"/>
        <v>2.15</v>
      </c>
      <c r="J17" s="148">
        <f t="shared" si="7"/>
        <v>2.52</v>
      </c>
      <c r="K17" s="151">
        <f t="shared" si="0"/>
        <v>1.1733333333333333</v>
      </c>
      <c r="L17" s="152">
        <f t="shared" si="0"/>
        <v>2.2383333333333333</v>
      </c>
      <c r="M17" s="153">
        <f t="shared" si="0"/>
        <v>2.6150000000000002</v>
      </c>
      <c r="N17" s="154">
        <f t="shared" si="1"/>
        <v>44143</v>
      </c>
      <c r="P17" s="144">
        <f t="shared" si="3"/>
        <v>0.60999999999999988</v>
      </c>
    </row>
    <row r="18" spans="1:16" s="155" customFormat="1" x14ac:dyDescent="0.25">
      <c r="A18" s="150">
        <f t="shared" si="4"/>
        <v>44144</v>
      </c>
      <c r="B18" s="145">
        <f t="shared" si="2"/>
        <v>2.25</v>
      </c>
      <c r="C18" s="146">
        <f t="shared" si="5"/>
        <v>2.68</v>
      </c>
      <c r="D18" s="147">
        <f t="shared" si="6"/>
        <v>2.85</v>
      </c>
      <c r="E18" s="138">
        <v>0.33</v>
      </c>
      <c r="F18" s="139">
        <v>1.885</v>
      </c>
      <c r="G18" s="140">
        <v>2.4750000000000001</v>
      </c>
      <c r="H18" s="148">
        <f t="shared" si="7"/>
        <v>0.94</v>
      </c>
      <c r="I18" s="148">
        <f t="shared" si="7"/>
        <v>2.15</v>
      </c>
      <c r="J18" s="148">
        <f t="shared" si="7"/>
        <v>2.52</v>
      </c>
      <c r="K18" s="151">
        <f t="shared" si="0"/>
        <v>1.1733333333333333</v>
      </c>
      <c r="L18" s="152">
        <f t="shared" si="0"/>
        <v>2.2383333333333333</v>
      </c>
      <c r="M18" s="153">
        <f t="shared" si="0"/>
        <v>2.6150000000000002</v>
      </c>
      <c r="N18" s="154">
        <f t="shared" si="1"/>
        <v>44144</v>
      </c>
      <c r="P18" s="144">
        <f t="shared" si="3"/>
        <v>0.60999999999999988</v>
      </c>
    </row>
    <row r="19" spans="1:16" s="155" customFormat="1" ht="12" customHeight="1" x14ac:dyDescent="0.3">
      <c r="A19" s="150">
        <f t="shared" si="4"/>
        <v>44145</v>
      </c>
      <c r="B19" s="145">
        <f t="shared" si="2"/>
        <v>2.25</v>
      </c>
      <c r="C19" s="146">
        <f t="shared" si="5"/>
        <v>2.68</v>
      </c>
      <c r="D19" s="147">
        <f t="shared" si="6"/>
        <v>2.85</v>
      </c>
      <c r="E19" s="138">
        <v>0.34499999999999997</v>
      </c>
      <c r="F19" s="139">
        <v>2.2999999999999998</v>
      </c>
      <c r="G19" s="140">
        <v>2.5049999999999999</v>
      </c>
      <c r="H19" s="158">
        <v>1.64</v>
      </c>
      <c r="I19" s="158">
        <v>2.56</v>
      </c>
      <c r="J19" s="158">
        <v>2.64</v>
      </c>
      <c r="K19" s="151">
        <f t="shared" si="0"/>
        <v>1.4116666666666664</v>
      </c>
      <c r="L19" s="152">
        <f t="shared" si="0"/>
        <v>2.5133333333333336</v>
      </c>
      <c r="M19" s="153">
        <f t="shared" si="0"/>
        <v>2.6650000000000005</v>
      </c>
      <c r="N19" s="154">
        <f t="shared" si="1"/>
        <v>44145</v>
      </c>
      <c r="P19" s="144">
        <f t="shared" si="3"/>
        <v>1.2949999999999999</v>
      </c>
    </row>
    <row r="20" spans="1:16" s="155" customFormat="1" x14ac:dyDescent="0.25">
      <c r="A20" s="150">
        <f t="shared" si="4"/>
        <v>44146</v>
      </c>
      <c r="B20" s="145">
        <f t="shared" si="2"/>
        <v>2.25</v>
      </c>
      <c r="C20" s="146">
        <f t="shared" si="5"/>
        <v>2.68</v>
      </c>
      <c r="D20" s="147">
        <f t="shared" si="6"/>
        <v>2.85</v>
      </c>
      <c r="E20" s="138">
        <v>1.42</v>
      </c>
      <c r="F20" s="139">
        <v>2.4700000000000002</v>
      </c>
      <c r="G20" s="140">
        <v>2.63</v>
      </c>
      <c r="H20" s="148">
        <f t="shared" ref="H20:J25" si="8">H19</f>
        <v>1.64</v>
      </c>
      <c r="I20" s="148">
        <f t="shared" si="8"/>
        <v>2.56</v>
      </c>
      <c r="J20" s="148">
        <f t="shared" si="8"/>
        <v>2.64</v>
      </c>
      <c r="K20" s="151">
        <f t="shared" si="0"/>
        <v>1.7699999999999998</v>
      </c>
      <c r="L20" s="152">
        <f t="shared" si="0"/>
        <v>2.5700000000000003</v>
      </c>
      <c r="M20" s="153">
        <f t="shared" si="0"/>
        <v>2.706666666666667</v>
      </c>
      <c r="N20" s="154">
        <f t="shared" si="1"/>
        <v>44146</v>
      </c>
      <c r="P20" s="156">
        <f>H20-E20</f>
        <v>0.21999999999999997</v>
      </c>
    </row>
    <row r="21" spans="1:16" s="155" customFormat="1" x14ac:dyDescent="0.25">
      <c r="A21" s="150">
        <f t="shared" si="4"/>
        <v>44147</v>
      </c>
      <c r="B21" s="145">
        <f t="shared" si="2"/>
        <v>2.25</v>
      </c>
      <c r="C21" s="146">
        <f t="shared" si="5"/>
        <v>2.68</v>
      </c>
      <c r="D21" s="147">
        <f t="shared" si="6"/>
        <v>2.85</v>
      </c>
      <c r="E21" s="138">
        <v>1.73</v>
      </c>
      <c r="F21" s="139">
        <v>2.57</v>
      </c>
      <c r="G21" s="140">
        <v>2.6549999999999998</v>
      </c>
      <c r="H21" s="148">
        <f t="shared" si="8"/>
        <v>1.64</v>
      </c>
      <c r="I21" s="148">
        <f t="shared" si="8"/>
        <v>2.56</v>
      </c>
      <c r="J21" s="148">
        <f t="shared" si="8"/>
        <v>2.64</v>
      </c>
      <c r="K21" s="151">
        <f t="shared" si="0"/>
        <v>1.8733333333333333</v>
      </c>
      <c r="L21" s="152">
        <f t="shared" si="0"/>
        <v>2.6033333333333335</v>
      </c>
      <c r="M21" s="153">
        <f t="shared" si="0"/>
        <v>2.7149999999999999</v>
      </c>
      <c r="N21" s="154">
        <f t="shared" si="1"/>
        <v>44147</v>
      </c>
      <c r="P21" s="156">
        <f t="shared" si="3"/>
        <v>-9.000000000000008E-2</v>
      </c>
    </row>
    <row r="22" spans="1:16" s="155" customFormat="1" x14ac:dyDescent="0.25">
      <c r="A22" s="150">
        <f t="shared" si="4"/>
        <v>44148</v>
      </c>
      <c r="B22" s="145">
        <f t="shared" si="2"/>
        <v>2.25</v>
      </c>
      <c r="C22" s="146">
        <f t="shared" si="5"/>
        <v>2.68</v>
      </c>
      <c r="D22" s="147">
        <f t="shared" si="6"/>
        <v>2.85</v>
      </c>
      <c r="E22" s="138">
        <v>2.12</v>
      </c>
      <c r="F22" s="139">
        <v>2.645</v>
      </c>
      <c r="G22" s="140">
        <v>2.69</v>
      </c>
      <c r="H22" s="148">
        <f t="shared" si="8"/>
        <v>1.64</v>
      </c>
      <c r="I22" s="148">
        <f t="shared" si="8"/>
        <v>2.56</v>
      </c>
      <c r="J22" s="148">
        <f t="shared" si="8"/>
        <v>2.64</v>
      </c>
      <c r="K22" s="151">
        <f t="shared" si="0"/>
        <v>2.0033333333333334</v>
      </c>
      <c r="L22" s="152">
        <f t="shared" si="0"/>
        <v>2.6283333333333334</v>
      </c>
      <c r="M22" s="153">
        <f t="shared" si="0"/>
        <v>2.7266666666666666</v>
      </c>
      <c r="N22" s="154">
        <f t="shared" si="1"/>
        <v>44148</v>
      </c>
      <c r="P22" s="144">
        <f t="shared" si="3"/>
        <v>-0.4800000000000002</v>
      </c>
    </row>
    <row r="23" spans="1:16" s="155" customFormat="1" ht="13" x14ac:dyDescent="0.3">
      <c r="A23" s="150">
        <f t="shared" si="4"/>
        <v>44149</v>
      </c>
      <c r="B23" s="145">
        <f t="shared" si="2"/>
        <v>2.25</v>
      </c>
      <c r="C23" s="146">
        <f t="shared" si="5"/>
        <v>2.68</v>
      </c>
      <c r="D23" s="147">
        <f t="shared" si="6"/>
        <v>2.85</v>
      </c>
      <c r="E23" s="138">
        <v>2.14</v>
      </c>
      <c r="F23" s="139">
        <v>2.6349999999999998</v>
      </c>
      <c r="G23" s="140">
        <v>2.69</v>
      </c>
      <c r="H23" s="148">
        <f t="shared" si="8"/>
        <v>1.64</v>
      </c>
      <c r="I23" s="148">
        <f t="shared" si="8"/>
        <v>2.56</v>
      </c>
      <c r="J23" s="148">
        <f t="shared" si="8"/>
        <v>2.64</v>
      </c>
      <c r="K23" s="151">
        <f t="shared" si="0"/>
        <v>2.0100000000000002</v>
      </c>
      <c r="L23" s="152">
        <f t="shared" si="0"/>
        <v>2.625</v>
      </c>
      <c r="M23" s="153">
        <f t="shared" si="0"/>
        <v>2.7266666666666666</v>
      </c>
      <c r="N23" s="157">
        <f t="shared" si="1"/>
        <v>44149</v>
      </c>
      <c r="P23" s="144">
        <f t="shared" si="3"/>
        <v>-0.50000000000000022</v>
      </c>
    </row>
    <row r="24" spans="1:16" s="155" customFormat="1" x14ac:dyDescent="0.25">
      <c r="A24" s="150">
        <f t="shared" si="4"/>
        <v>44150</v>
      </c>
      <c r="B24" s="145">
        <f t="shared" si="2"/>
        <v>2.25</v>
      </c>
      <c r="C24" s="146">
        <f t="shared" si="5"/>
        <v>2.68</v>
      </c>
      <c r="D24" s="147">
        <f t="shared" si="6"/>
        <v>2.85</v>
      </c>
      <c r="E24" s="138">
        <v>2.14</v>
      </c>
      <c r="F24" s="139">
        <v>2.6349999999999998</v>
      </c>
      <c r="G24" s="140">
        <v>2.69</v>
      </c>
      <c r="H24" s="148">
        <f t="shared" si="8"/>
        <v>1.64</v>
      </c>
      <c r="I24" s="148">
        <f t="shared" si="8"/>
        <v>2.56</v>
      </c>
      <c r="J24" s="148">
        <f t="shared" si="8"/>
        <v>2.64</v>
      </c>
      <c r="K24" s="151">
        <f>AVERAGE(B24,E24,H24)</f>
        <v>2.0100000000000002</v>
      </c>
      <c r="L24" s="152">
        <f t="shared" si="0"/>
        <v>2.625</v>
      </c>
      <c r="M24" s="153">
        <f t="shared" si="0"/>
        <v>2.7266666666666666</v>
      </c>
      <c r="N24" s="154">
        <f t="shared" si="1"/>
        <v>44150</v>
      </c>
      <c r="P24" s="144">
        <f t="shared" si="3"/>
        <v>-0.50000000000000022</v>
      </c>
    </row>
    <row r="25" spans="1:16" s="155" customFormat="1" x14ac:dyDescent="0.25">
      <c r="A25" s="150">
        <f t="shared" si="4"/>
        <v>44151</v>
      </c>
      <c r="B25" s="145">
        <f t="shared" si="2"/>
        <v>2.25</v>
      </c>
      <c r="C25" s="146">
        <f t="shared" si="5"/>
        <v>2.68</v>
      </c>
      <c r="D25" s="147">
        <f t="shared" si="6"/>
        <v>2.85</v>
      </c>
      <c r="E25" s="138">
        <v>2.14</v>
      </c>
      <c r="F25" s="139">
        <v>2.6349999999999998</v>
      </c>
      <c r="G25" s="140">
        <v>2.69</v>
      </c>
      <c r="H25" s="148">
        <f t="shared" si="8"/>
        <v>1.64</v>
      </c>
      <c r="I25" s="148">
        <f t="shared" si="8"/>
        <v>2.56</v>
      </c>
      <c r="J25" s="148">
        <f t="shared" si="8"/>
        <v>2.64</v>
      </c>
      <c r="K25" s="151">
        <f t="shared" si="0"/>
        <v>2.0100000000000002</v>
      </c>
      <c r="L25" s="152">
        <f t="shared" si="0"/>
        <v>2.625</v>
      </c>
      <c r="M25" s="153">
        <f t="shared" si="0"/>
        <v>2.7266666666666666</v>
      </c>
      <c r="N25" s="154">
        <f t="shared" si="1"/>
        <v>44151</v>
      </c>
      <c r="P25" s="156">
        <f t="shared" si="3"/>
        <v>-0.50000000000000022</v>
      </c>
    </row>
    <row r="26" spans="1:16" s="155" customFormat="1" ht="13" x14ac:dyDescent="0.3">
      <c r="A26" s="150">
        <f t="shared" si="4"/>
        <v>44152</v>
      </c>
      <c r="B26" s="145">
        <f t="shared" si="2"/>
        <v>2.25</v>
      </c>
      <c r="C26" s="146">
        <f t="shared" si="5"/>
        <v>2.68</v>
      </c>
      <c r="D26" s="147">
        <f t="shared" si="6"/>
        <v>2.85</v>
      </c>
      <c r="E26" s="138">
        <v>2.12</v>
      </c>
      <c r="F26" s="139">
        <v>2.39</v>
      </c>
      <c r="G26" s="140">
        <v>2.585</v>
      </c>
      <c r="H26" s="158">
        <v>1.9</v>
      </c>
      <c r="I26" s="158">
        <v>2.06</v>
      </c>
      <c r="J26" s="158">
        <v>2.2999999999999998</v>
      </c>
      <c r="K26" s="151">
        <f t="shared" si="0"/>
        <v>2.09</v>
      </c>
      <c r="L26" s="152">
        <f t="shared" si="0"/>
        <v>2.3766666666666669</v>
      </c>
      <c r="M26" s="153">
        <f t="shared" si="0"/>
        <v>2.5783333333333336</v>
      </c>
      <c r="N26" s="154">
        <f t="shared" si="1"/>
        <v>44152</v>
      </c>
      <c r="P26" s="144">
        <f t="shared" si="3"/>
        <v>-0.2200000000000002</v>
      </c>
    </row>
    <row r="27" spans="1:16" s="155" customFormat="1" x14ac:dyDescent="0.25">
      <c r="A27" s="150">
        <f t="shared" si="4"/>
        <v>44153</v>
      </c>
      <c r="B27" s="145">
        <f t="shared" si="2"/>
        <v>2.25</v>
      </c>
      <c r="C27" s="146">
        <f t="shared" si="5"/>
        <v>2.68</v>
      </c>
      <c r="D27" s="147">
        <f t="shared" si="6"/>
        <v>2.85</v>
      </c>
      <c r="E27" s="138">
        <v>1.96</v>
      </c>
      <c r="F27" s="139">
        <v>2.165</v>
      </c>
      <c r="G27" s="140">
        <v>2.5</v>
      </c>
      <c r="H27" s="148">
        <f t="shared" ref="H27:J32" si="9">H26</f>
        <v>1.9</v>
      </c>
      <c r="I27" s="148">
        <f t="shared" si="9"/>
        <v>2.06</v>
      </c>
      <c r="J27" s="148">
        <f t="shared" si="9"/>
        <v>2.2999999999999998</v>
      </c>
      <c r="K27" s="151">
        <f t="shared" si="0"/>
        <v>2.0366666666666666</v>
      </c>
      <c r="L27" s="152">
        <f t="shared" si="0"/>
        <v>2.3016666666666672</v>
      </c>
      <c r="M27" s="153">
        <f t="shared" si="0"/>
        <v>2.5499999999999998</v>
      </c>
      <c r="N27" s="154">
        <f t="shared" si="1"/>
        <v>44153</v>
      </c>
      <c r="P27" s="156">
        <f t="shared" si="3"/>
        <v>-6.0000000000000053E-2</v>
      </c>
    </row>
    <row r="28" spans="1:16" s="155" customFormat="1" x14ac:dyDescent="0.25">
      <c r="A28" s="150">
        <f t="shared" si="4"/>
        <v>44154</v>
      </c>
      <c r="B28" s="145">
        <f t="shared" si="2"/>
        <v>2.25</v>
      </c>
      <c r="C28" s="146">
        <f t="shared" si="5"/>
        <v>2.68</v>
      </c>
      <c r="D28" s="147">
        <f t="shared" si="6"/>
        <v>2.85</v>
      </c>
      <c r="E28" s="138">
        <v>1.75</v>
      </c>
      <c r="F28" s="139">
        <v>1.9950000000000001</v>
      </c>
      <c r="G28" s="140">
        <v>2.33</v>
      </c>
      <c r="H28" s="148">
        <f t="shared" si="9"/>
        <v>1.9</v>
      </c>
      <c r="I28" s="148">
        <f t="shared" si="9"/>
        <v>2.06</v>
      </c>
      <c r="J28" s="148">
        <f t="shared" si="9"/>
        <v>2.2999999999999998</v>
      </c>
      <c r="K28" s="151">
        <f t="shared" si="0"/>
        <v>1.9666666666666668</v>
      </c>
      <c r="L28" s="152">
        <f t="shared" si="0"/>
        <v>2.2450000000000006</v>
      </c>
      <c r="M28" s="153">
        <f t="shared" si="0"/>
        <v>2.4933333333333332</v>
      </c>
      <c r="N28" s="154">
        <f t="shared" si="1"/>
        <v>44154</v>
      </c>
      <c r="P28" s="156">
        <f t="shared" si="3"/>
        <v>0.14999999999999991</v>
      </c>
    </row>
    <row r="29" spans="1:16" s="155" customFormat="1" x14ac:dyDescent="0.25">
      <c r="A29" s="150">
        <f t="shared" si="4"/>
        <v>44155</v>
      </c>
      <c r="B29" s="145">
        <f t="shared" si="2"/>
        <v>2.25</v>
      </c>
      <c r="C29" s="146">
        <f t="shared" si="5"/>
        <v>2.68</v>
      </c>
      <c r="D29" s="147">
        <f t="shared" si="6"/>
        <v>2.85</v>
      </c>
      <c r="E29" s="138">
        <v>1.7549999999999999</v>
      </c>
      <c r="F29" s="139">
        <v>1.97</v>
      </c>
      <c r="G29" s="140">
        <v>2.17</v>
      </c>
      <c r="H29" s="148">
        <f t="shared" si="9"/>
        <v>1.9</v>
      </c>
      <c r="I29" s="148">
        <f t="shared" si="9"/>
        <v>2.06</v>
      </c>
      <c r="J29" s="148">
        <f t="shared" si="9"/>
        <v>2.2999999999999998</v>
      </c>
      <c r="K29" s="151">
        <f t="shared" si="0"/>
        <v>1.968333333333333</v>
      </c>
      <c r="L29" s="152">
        <f t="shared" si="0"/>
        <v>2.2366666666666668</v>
      </c>
      <c r="M29" s="153">
        <f t="shared" si="0"/>
        <v>2.44</v>
      </c>
      <c r="N29" s="154">
        <f t="shared" si="1"/>
        <v>44155</v>
      </c>
      <c r="P29" s="144">
        <f t="shared" si="3"/>
        <v>0.14500000000000002</v>
      </c>
    </row>
    <row r="30" spans="1:16" s="155" customFormat="1" ht="13" x14ac:dyDescent="0.3">
      <c r="A30" s="150">
        <f t="shared" si="4"/>
        <v>44156</v>
      </c>
      <c r="B30" s="145">
        <f t="shared" si="2"/>
        <v>2.25</v>
      </c>
      <c r="C30" s="146">
        <f t="shared" si="5"/>
        <v>2.68</v>
      </c>
      <c r="D30" s="147">
        <f t="shared" si="6"/>
        <v>2.85</v>
      </c>
      <c r="E30" s="138">
        <v>1.87</v>
      </c>
      <c r="F30" s="139">
        <v>2.0699999999999998</v>
      </c>
      <c r="G30" s="140">
        <v>2.2000000000000002</v>
      </c>
      <c r="H30" s="148">
        <f t="shared" si="9"/>
        <v>1.9</v>
      </c>
      <c r="I30" s="148">
        <f t="shared" si="9"/>
        <v>2.06</v>
      </c>
      <c r="J30" s="148">
        <f t="shared" si="9"/>
        <v>2.2999999999999998</v>
      </c>
      <c r="K30" s="151">
        <f t="shared" si="0"/>
        <v>2.0066666666666664</v>
      </c>
      <c r="L30" s="152">
        <f t="shared" si="0"/>
        <v>2.27</v>
      </c>
      <c r="M30" s="153">
        <f t="shared" si="0"/>
        <v>2.4500000000000002</v>
      </c>
      <c r="N30" s="157">
        <f t="shared" si="1"/>
        <v>44156</v>
      </c>
      <c r="P30" s="144">
        <f t="shared" si="3"/>
        <v>2.9999999999999805E-2</v>
      </c>
    </row>
    <row r="31" spans="1:16" s="155" customFormat="1" x14ac:dyDescent="0.25">
      <c r="A31" s="150">
        <f t="shared" si="4"/>
        <v>44157</v>
      </c>
      <c r="B31" s="145">
        <f t="shared" si="2"/>
        <v>2.25</v>
      </c>
      <c r="C31" s="146">
        <f t="shared" si="5"/>
        <v>2.68</v>
      </c>
      <c r="D31" s="147">
        <f t="shared" si="6"/>
        <v>2.85</v>
      </c>
      <c r="E31" s="138">
        <v>1.87</v>
      </c>
      <c r="F31" s="139">
        <v>2.0699999999999998</v>
      </c>
      <c r="G31" s="140">
        <v>2.2000000000000002</v>
      </c>
      <c r="H31" s="148">
        <f t="shared" si="9"/>
        <v>1.9</v>
      </c>
      <c r="I31" s="148">
        <f t="shared" si="9"/>
        <v>2.06</v>
      </c>
      <c r="J31" s="148">
        <f t="shared" si="9"/>
        <v>2.2999999999999998</v>
      </c>
      <c r="K31" s="151">
        <f t="shared" si="0"/>
        <v>2.0066666666666664</v>
      </c>
      <c r="L31" s="152">
        <f t="shared" si="0"/>
        <v>2.27</v>
      </c>
      <c r="M31" s="153">
        <f t="shared" si="0"/>
        <v>2.4500000000000002</v>
      </c>
      <c r="N31" s="154">
        <f t="shared" si="1"/>
        <v>44157</v>
      </c>
      <c r="P31" s="144">
        <f t="shared" si="3"/>
        <v>2.9999999999999805E-2</v>
      </c>
    </row>
    <row r="32" spans="1:16" s="155" customFormat="1" x14ac:dyDescent="0.25">
      <c r="A32" s="150">
        <f t="shared" si="4"/>
        <v>44158</v>
      </c>
      <c r="B32" s="145">
        <f t="shared" si="2"/>
        <v>2.25</v>
      </c>
      <c r="C32" s="146">
        <f t="shared" si="5"/>
        <v>2.68</v>
      </c>
      <c r="D32" s="147">
        <f t="shared" si="6"/>
        <v>2.85</v>
      </c>
      <c r="E32" s="138">
        <v>1.87</v>
      </c>
      <c r="F32" s="139">
        <v>2.0699999999999998</v>
      </c>
      <c r="G32" s="140">
        <v>2.2000000000000002</v>
      </c>
      <c r="H32" s="148">
        <f t="shared" si="9"/>
        <v>1.9</v>
      </c>
      <c r="I32" s="148">
        <f t="shared" si="9"/>
        <v>2.06</v>
      </c>
      <c r="J32" s="148">
        <f t="shared" si="9"/>
        <v>2.2999999999999998</v>
      </c>
      <c r="K32" s="151">
        <f t="shared" si="0"/>
        <v>2.0066666666666664</v>
      </c>
      <c r="L32" s="152">
        <f t="shared" si="0"/>
        <v>2.27</v>
      </c>
      <c r="M32" s="153">
        <f t="shared" si="0"/>
        <v>2.4500000000000002</v>
      </c>
      <c r="N32" s="154">
        <f t="shared" si="1"/>
        <v>44158</v>
      </c>
      <c r="P32" s="144">
        <f t="shared" si="3"/>
        <v>2.9999999999999805E-2</v>
      </c>
    </row>
    <row r="33" spans="1:16" s="155" customFormat="1" ht="13" x14ac:dyDescent="0.3">
      <c r="A33" s="150">
        <f t="shared" si="4"/>
        <v>44159</v>
      </c>
      <c r="B33" s="145">
        <f t="shared" si="2"/>
        <v>2.25</v>
      </c>
      <c r="C33" s="146">
        <f t="shared" si="5"/>
        <v>2.68</v>
      </c>
      <c r="D33" s="147">
        <f t="shared" si="6"/>
        <v>2.85</v>
      </c>
      <c r="E33" s="138">
        <v>2.0750000000000002</v>
      </c>
      <c r="F33" s="139">
        <v>2.145</v>
      </c>
      <c r="G33" s="140">
        <v>2.2149999999999999</v>
      </c>
      <c r="H33" s="158">
        <v>2.0099999999999998</v>
      </c>
      <c r="I33" s="158">
        <v>2.08</v>
      </c>
      <c r="J33" s="158">
        <v>2.2200000000000002</v>
      </c>
      <c r="K33" s="151">
        <f t="shared" si="0"/>
        <v>2.1116666666666668</v>
      </c>
      <c r="L33" s="152">
        <f t="shared" si="0"/>
        <v>2.3016666666666667</v>
      </c>
      <c r="M33" s="153">
        <f t="shared" si="0"/>
        <v>2.4283333333333332</v>
      </c>
      <c r="N33" s="154">
        <f t="shared" si="1"/>
        <v>44159</v>
      </c>
      <c r="P33" s="144">
        <f t="shared" si="3"/>
        <v>-6.5000000000000391E-2</v>
      </c>
    </row>
    <row r="34" spans="1:16" s="155" customFormat="1" x14ac:dyDescent="0.25">
      <c r="A34" s="150">
        <f t="shared" si="4"/>
        <v>44160</v>
      </c>
      <c r="B34" s="145">
        <f t="shared" si="2"/>
        <v>2.25</v>
      </c>
      <c r="C34" s="146">
        <f t="shared" si="5"/>
        <v>2.68</v>
      </c>
      <c r="D34" s="147">
        <f t="shared" si="6"/>
        <v>2.85</v>
      </c>
      <c r="E34" s="138">
        <v>2.0550000000000002</v>
      </c>
      <c r="F34" s="139">
        <v>2.1549999999999998</v>
      </c>
      <c r="G34" s="140">
        <v>2.2050000000000001</v>
      </c>
      <c r="H34" s="148">
        <f t="shared" ref="H34:J39" si="10">H33</f>
        <v>2.0099999999999998</v>
      </c>
      <c r="I34" s="148">
        <f t="shared" si="10"/>
        <v>2.08</v>
      </c>
      <c r="J34" s="148">
        <f t="shared" si="10"/>
        <v>2.2200000000000002</v>
      </c>
      <c r="K34" s="151">
        <f t="shared" si="0"/>
        <v>2.105</v>
      </c>
      <c r="L34" s="152">
        <f t="shared" si="0"/>
        <v>2.3050000000000002</v>
      </c>
      <c r="M34" s="153">
        <f t="shared" si="0"/>
        <v>2.4250000000000003</v>
      </c>
      <c r="N34" s="154">
        <f t="shared" si="1"/>
        <v>44160</v>
      </c>
      <c r="P34" s="156">
        <f t="shared" si="3"/>
        <v>-4.5000000000000373E-2</v>
      </c>
    </row>
    <row r="35" spans="1:16" s="155" customFormat="1" x14ac:dyDescent="0.25">
      <c r="A35" s="150">
        <f t="shared" si="4"/>
        <v>44161</v>
      </c>
      <c r="B35" s="145">
        <f t="shared" si="2"/>
        <v>2.25</v>
      </c>
      <c r="C35" s="146">
        <f t="shared" si="5"/>
        <v>2.68</v>
      </c>
      <c r="D35" s="147">
        <f t="shared" si="6"/>
        <v>2.85</v>
      </c>
      <c r="E35" s="138">
        <v>1.98</v>
      </c>
      <c r="F35" s="139">
        <v>2.105</v>
      </c>
      <c r="G35" s="140">
        <v>2.2000000000000002</v>
      </c>
      <c r="H35" s="148">
        <f t="shared" si="10"/>
        <v>2.0099999999999998</v>
      </c>
      <c r="I35" s="148">
        <f t="shared" si="10"/>
        <v>2.08</v>
      </c>
      <c r="J35" s="148">
        <f t="shared" si="10"/>
        <v>2.2200000000000002</v>
      </c>
      <c r="K35" s="151">
        <f t="shared" si="0"/>
        <v>2.08</v>
      </c>
      <c r="L35" s="152">
        <f t="shared" si="0"/>
        <v>2.2883333333333336</v>
      </c>
      <c r="M35" s="153">
        <f t="shared" si="0"/>
        <v>2.4233333333333338</v>
      </c>
      <c r="N35" s="154">
        <f t="shared" si="1"/>
        <v>44161</v>
      </c>
      <c r="P35" s="156">
        <f t="shared" si="3"/>
        <v>2.9999999999999805E-2</v>
      </c>
    </row>
    <row r="36" spans="1:16" x14ac:dyDescent="0.25">
      <c r="A36" s="109">
        <f t="shared" si="4"/>
        <v>44162</v>
      </c>
      <c r="B36" s="145">
        <f t="shared" si="2"/>
        <v>2.25</v>
      </c>
      <c r="C36" s="146">
        <f t="shared" si="5"/>
        <v>2.68</v>
      </c>
      <c r="D36" s="147">
        <f t="shared" si="6"/>
        <v>2.85</v>
      </c>
      <c r="E36" s="138">
        <v>1.98</v>
      </c>
      <c r="F36" s="139">
        <v>2.105</v>
      </c>
      <c r="G36" s="140">
        <v>2.2000000000000002</v>
      </c>
      <c r="H36" s="148">
        <f t="shared" si="10"/>
        <v>2.0099999999999998</v>
      </c>
      <c r="I36" s="148">
        <f t="shared" si="10"/>
        <v>2.08</v>
      </c>
      <c r="J36" s="148">
        <f t="shared" si="10"/>
        <v>2.2200000000000002</v>
      </c>
      <c r="K36" s="151">
        <f t="shared" si="0"/>
        <v>2.08</v>
      </c>
      <c r="L36" s="142">
        <f t="shared" si="0"/>
        <v>2.2883333333333336</v>
      </c>
      <c r="M36" s="143">
        <f t="shared" si="0"/>
        <v>2.4233333333333338</v>
      </c>
      <c r="N36" s="154">
        <f t="shared" si="1"/>
        <v>44162</v>
      </c>
      <c r="P36" s="144">
        <f>H36-E36</f>
        <v>2.9999999999999805E-2</v>
      </c>
    </row>
    <row r="37" spans="1:16" ht="13" x14ac:dyDescent="0.3">
      <c r="A37" s="109">
        <f t="shared" si="4"/>
        <v>44163</v>
      </c>
      <c r="B37" s="145">
        <f t="shared" si="2"/>
        <v>2.25</v>
      </c>
      <c r="C37" s="146">
        <f t="shared" si="5"/>
        <v>2.68</v>
      </c>
      <c r="D37" s="147">
        <f t="shared" si="6"/>
        <v>2.85</v>
      </c>
      <c r="E37" s="138">
        <v>1.98</v>
      </c>
      <c r="F37" s="139">
        <v>2.105</v>
      </c>
      <c r="G37" s="140">
        <v>2.2000000000000002</v>
      </c>
      <c r="H37" s="148">
        <f t="shared" si="10"/>
        <v>2.0099999999999998</v>
      </c>
      <c r="I37" s="148">
        <f t="shared" si="10"/>
        <v>2.08</v>
      </c>
      <c r="J37" s="148">
        <f t="shared" si="10"/>
        <v>2.2200000000000002</v>
      </c>
      <c r="K37" s="151">
        <f t="shared" si="0"/>
        <v>2.08</v>
      </c>
      <c r="L37" s="142">
        <f t="shared" si="0"/>
        <v>2.2883333333333336</v>
      </c>
      <c r="M37" s="143">
        <f t="shared" si="0"/>
        <v>2.4233333333333338</v>
      </c>
      <c r="N37" s="157">
        <f t="shared" si="1"/>
        <v>44163</v>
      </c>
      <c r="P37" s="144">
        <f t="shared" si="3"/>
        <v>2.9999999999999805E-2</v>
      </c>
    </row>
    <row r="38" spans="1:16" s="155" customFormat="1" x14ac:dyDescent="0.25">
      <c r="A38" s="150">
        <f t="shared" si="4"/>
        <v>44164</v>
      </c>
      <c r="B38" s="145">
        <f t="shared" si="2"/>
        <v>2.25</v>
      </c>
      <c r="C38" s="146">
        <f t="shared" si="5"/>
        <v>2.68</v>
      </c>
      <c r="D38" s="147">
        <f t="shared" si="6"/>
        <v>2.85</v>
      </c>
      <c r="E38" s="138">
        <v>1.98</v>
      </c>
      <c r="F38" s="139">
        <v>2.105</v>
      </c>
      <c r="G38" s="140">
        <v>2.2000000000000002</v>
      </c>
      <c r="H38" s="148">
        <f t="shared" si="10"/>
        <v>2.0099999999999998</v>
      </c>
      <c r="I38" s="148">
        <f t="shared" si="10"/>
        <v>2.08</v>
      </c>
      <c r="J38" s="148">
        <f t="shared" si="10"/>
        <v>2.2200000000000002</v>
      </c>
      <c r="K38" s="151">
        <f t="shared" ref="K38:M39" si="11">AVERAGE(B38,E38,H38)</f>
        <v>2.08</v>
      </c>
      <c r="L38" s="152">
        <f t="shared" si="11"/>
        <v>2.2883333333333336</v>
      </c>
      <c r="M38" s="153">
        <f t="shared" si="11"/>
        <v>2.4233333333333338</v>
      </c>
      <c r="N38" s="154">
        <f t="shared" si="1"/>
        <v>44164</v>
      </c>
      <c r="P38" s="156">
        <f t="shared" si="3"/>
        <v>2.9999999999999805E-2</v>
      </c>
    </row>
    <row r="39" spans="1:16" ht="13" x14ac:dyDescent="0.3">
      <c r="A39" s="109">
        <f t="shared" si="4"/>
        <v>44165</v>
      </c>
      <c r="B39" s="145">
        <f t="shared" si="2"/>
        <v>2.25</v>
      </c>
      <c r="C39" s="146">
        <f t="shared" si="5"/>
        <v>2.68</v>
      </c>
      <c r="D39" s="147">
        <f t="shared" si="6"/>
        <v>2.85</v>
      </c>
      <c r="E39" s="138">
        <v>1.98</v>
      </c>
      <c r="F39" s="139">
        <v>2.105</v>
      </c>
      <c r="G39" s="140">
        <v>2.2000000000000002</v>
      </c>
      <c r="H39" s="148">
        <f t="shared" si="10"/>
        <v>2.0099999999999998</v>
      </c>
      <c r="I39" s="148">
        <f t="shared" si="10"/>
        <v>2.08</v>
      </c>
      <c r="J39" s="148">
        <f t="shared" si="10"/>
        <v>2.2200000000000002</v>
      </c>
      <c r="K39" s="151">
        <f t="shared" si="11"/>
        <v>2.08</v>
      </c>
      <c r="L39" s="142">
        <f t="shared" si="11"/>
        <v>2.2883333333333336</v>
      </c>
      <c r="M39" s="143">
        <f t="shared" si="11"/>
        <v>2.4233333333333338</v>
      </c>
      <c r="N39" s="157">
        <f t="shared" si="1"/>
        <v>44165</v>
      </c>
      <c r="P39" s="144">
        <f t="shared" si="3"/>
        <v>2.9999999999999805E-2</v>
      </c>
    </row>
    <row r="40" spans="1:16" ht="13" x14ac:dyDescent="0.3">
      <c r="B40" s="145"/>
      <c r="C40" s="146"/>
      <c r="D40" s="147"/>
      <c r="E40" s="138"/>
      <c r="F40" s="139"/>
      <c r="G40" s="140"/>
      <c r="H40" s="148"/>
      <c r="I40" s="148"/>
      <c r="J40" s="148"/>
      <c r="K40" s="151"/>
      <c r="L40" s="142"/>
      <c r="M40" s="143"/>
      <c r="N40" s="157"/>
      <c r="P40" s="144"/>
    </row>
    <row r="41" spans="1:16" x14ac:dyDescent="0.25">
      <c r="B41" s="145"/>
      <c r="C41" s="146"/>
      <c r="D41" s="147"/>
      <c r="E41" s="159"/>
      <c r="F41" s="160"/>
      <c r="G41" s="161"/>
      <c r="H41" s="159"/>
      <c r="I41" s="160"/>
      <c r="J41" s="161"/>
      <c r="K41" s="141"/>
      <c r="L41" s="142"/>
      <c r="M41" s="143"/>
    </row>
    <row r="42" spans="1:16" s="155" customFormat="1" ht="13" x14ac:dyDescent="0.3">
      <c r="A42" s="162" t="s">
        <v>102</v>
      </c>
      <c r="B42" s="163">
        <f t="shared" ref="B42:M42" si="12">AVERAGE(B10:B39)</f>
        <v>2.25</v>
      </c>
      <c r="C42" s="163">
        <f t="shared" si="12"/>
        <v>2.6800000000000015</v>
      </c>
      <c r="D42" s="163">
        <f t="shared" si="12"/>
        <v>2.8499999999999996</v>
      </c>
      <c r="E42" s="163">
        <f t="shared" si="12"/>
        <v>1.6861666666666661</v>
      </c>
      <c r="F42" s="163">
        <f t="shared" si="12"/>
        <v>2.2886666666666664</v>
      </c>
      <c r="G42" s="163">
        <f t="shared" si="12"/>
        <v>2.4755000000000007</v>
      </c>
      <c r="H42" s="163">
        <f t="shared" si="12"/>
        <v>1.6689999999999994</v>
      </c>
      <c r="I42" s="163">
        <f t="shared" si="12"/>
        <v>2.2516666666666669</v>
      </c>
      <c r="J42" s="163">
        <f t="shared" si="12"/>
        <v>2.4546666666666659</v>
      </c>
      <c r="K42" s="163">
        <f t="shared" si="12"/>
        <v>1.8683888888888887</v>
      </c>
      <c r="L42" s="163">
        <f t="shared" si="12"/>
        <v>2.4067777777777772</v>
      </c>
      <c r="M42" s="163">
        <f t="shared" si="12"/>
        <v>2.5933888888888887</v>
      </c>
      <c r="N42" s="164"/>
    </row>
    <row r="43" spans="1:16" x14ac:dyDescent="0.25">
      <c r="B43" s="165"/>
      <c r="C43" s="165"/>
      <c r="D43" s="165"/>
      <c r="E43" s="165"/>
      <c r="F43" s="165"/>
      <c r="G43" s="165"/>
      <c r="H43" s="165"/>
      <c r="I43" s="165"/>
      <c r="J43" s="165"/>
      <c r="K43" s="166"/>
      <c r="L43" s="167"/>
    </row>
    <row r="44" spans="1:16" x14ac:dyDescent="0.25">
      <c r="B44" s="165"/>
      <c r="C44" s="165"/>
      <c r="D44" s="165"/>
      <c r="E44" s="165"/>
      <c r="F44" s="165"/>
      <c r="G44" s="168"/>
      <c r="H44" s="169"/>
      <c r="I44" s="168"/>
      <c r="J44" s="165"/>
      <c r="K44" s="166"/>
      <c r="L44" s="167"/>
    </row>
    <row r="45" spans="1:16" x14ac:dyDescent="0.25">
      <c r="B45" s="165"/>
      <c r="C45" s="165"/>
      <c r="D45" s="165"/>
      <c r="E45" s="165"/>
      <c r="F45" s="165"/>
      <c r="G45" s="165"/>
      <c r="H45" s="165"/>
      <c r="I45" s="165"/>
      <c r="J45" s="165"/>
      <c r="K45" s="166"/>
      <c r="L45" s="167"/>
    </row>
    <row r="46" spans="1:16" x14ac:dyDescent="0.25">
      <c r="B46" s="165"/>
      <c r="C46" s="165"/>
      <c r="D46" s="165"/>
      <c r="E46" s="165"/>
      <c r="F46" s="165"/>
      <c r="G46" s="165"/>
      <c r="H46" s="165"/>
      <c r="I46" s="165"/>
      <c r="J46" s="165"/>
      <c r="K46" s="166"/>
      <c r="L46" s="167"/>
    </row>
    <row r="47" spans="1:16" x14ac:dyDescent="0.25">
      <c r="B47" s="165"/>
      <c r="C47" s="165"/>
      <c r="D47" s="165"/>
      <c r="E47" s="165"/>
      <c r="F47" s="165"/>
      <c r="G47" s="165"/>
      <c r="H47" s="165"/>
      <c r="I47" s="165"/>
      <c r="J47" s="165"/>
      <c r="K47" s="166"/>
      <c r="L47" s="167"/>
    </row>
    <row r="48" spans="1:16" ht="13" x14ac:dyDescent="0.3">
      <c r="A48" s="170" t="s">
        <v>103</v>
      </c>
      <c r="B48" s="171"/>
      <c r="C48" s="171"/>
      <c r="D48" s="171"/>
      <c r="E48" s="171"/>
      <c r="F48" s="171"/>
      <c r="G48" s="171"/>
      <c r="H48" s="171"/>
      <c r="I48" s="171"/>
      <c r="J48" s="172"/>
      <c r="K48" s="166"/>
      <c r="L48" s="167"/>
    </row>
    <row r="49" spans="1:17" x14ac:dyDescent="0.25">
      <c r="A49" s="173"/>
      <c r="B49" s="142"/>
      <c r="C49" s="142"/>
      <c r="D49" s="142"/>
      <c r="E49" s="142"/>
      <c r="F49" s="142"/>
      <c r="G49" s="142"/>
      <c r="H49" s="142"/>
      <c r="I49" s="142"/>
      <c r="J49" s="174"/>
      <c r="K49" s="166"/>
      <c r="L49" s="167"/>
    </row>
    <row r="50" spans="1:17" ht="14" x14ac:dyDescent="0.3">
      <c r="A50" s="175"/>
      <c r="B50" s="176"/>
      <c r="C50" s="176"/>
      <c r="D50" s="176"/>
      <c r="E50" s="177" t="s">
        <v>104</v>
      </c>
      <c r="F50" s="177" t="s">
        <v>104</v>
      </c>
      <c r="G50" s="177" t="s">
        <v>105</v>
      </c>
      <c r="H50" s="176"/>
      <c r="I50" s="176"/>
      <c r="J50" s="178"/>
      <c r="L50" s="167"/>
      <c r="M50" s="179"/>
    </row>
    <row r="51" spans="1:17" ht="15" customHeight="1" x14ac:dyDescent="0.3">
      <c r="A51" s="175"/>
      <c r="B51" s="180" t="s">
        <v>42</v>
      </c>
      <c r="C51" s="180" t="s">
        <v>106</v>
      </c>
      <c r="D51" s="176"/>
      <c r="E51" s="180" t="s">
        <v>107</v>
      </c>
      <c r="F51" s="180" t="s">
        <v>108</v>
      </c>
      <c r="G51" s="180" t="s">
        <v>108</v>
      </c>
      <c r="H51" s="205" t="s">
        <v>109</v>
      </c>
      <c r="I51" s="205"/>
      <c r="J51" s="178"/>
      <c r="K51" s="181"/>
      <c r="L51" s="182"/>
      <c r="M51" s="179"/>
    </row>
    <row r="52" spans="1:17" ht="15" customHeight="1" x14ac:dyDescent="0.3">
      <c r="A52" s="175"/>
      <c r="B52" s="176" t="s">
        <v>55</v>
      </c>
      <c r="C52" s="176" t="s">
        <v>110</v>
      </c>
      <c r="D52" s="176"/>
      <c r="E52" s="183">
        <f>298800-73500</f>
        <v>225300</v>
      </c>
      <c r="F52" s="184">
        <f>605968.5-204036</f>
        <v>401932.5</v>
      </c>
      <c r="G52" s="185">
        <f>E52*$K$42</f>
        <v>420948.0166666666</v>
      </c>
      <c r="H52" s="176"/>
      <c r="I52" s="186">
        <f>G52-F52</f>
        <v>19015.516666666605</v>
      </c>
      <c r="J52" s="178"/>
      <c r="L52" s="167"/>
      <c r="M52" s="179"/>
    </row>
    <row r="53" spans="1:17" ht="14" x14ac:dyDescent="0.3">
      <c r="A53" s="175"/>
      <c r="B53" s="176" t="s">
        <v>111</v>
      </c>
      <c r="C53" s="176" t="s">
        <v>112</v>
      </c>
      <c r="D53" s="176"/>
      <c r="E53" s="183">
        <v>0</v>
      </c>
      <c r="F53" s="184">
        <v>0</v>
      </c>
      <c r="G53" s="185">
        <f>E53*$L$42</f>
        <v>0</v>
      </c>
      <c r="H53" s="176"/>
      <c r="I53" s="186">
        <f t="shared" ref="I53:I54" si="13">G53-F53</f>
        <v>0</v>
      </c>
      <c r="J53" s="178"/>
      <c r="L53" s="167"/>
      <c r="M53" s="179"/>
    </row>
    <row r="54" spans="1:17" s="103" customFormat="1" ht="14" x14ac:dyDescent="0.3">
      <c r="A54" s="175"/>
      <c r="B54" s="176" t="s">
        <v>113</v>
      </c>
      <c r="C54" s="176">
        <v>500</v>
      </c>
      <c r="D54" s="176"/>
      <c r="E54" s="183">
        <v>0</v>
      </c>
      <c r="F54" s="184">
        <v>0</v>
      </c>
      <c r="G54" s="185">
        <f>E54*$M$42</f>
        <v>0</v>
      </c>
      <c r="H54" s="176"/>
      <c r="I54" s="186">
        <f t="shared" si="13"/>
        <v>0</v>
      </c>
      <c r="J54" s="178"/>
      <c r="L54" s="167"/>
      <c r="M54" s="179"/>
      <c r="O54" s="104"/>
      <c r="P54" s="104"/>
      <c r="Q54" s="104"/>
    </row>
    <row r="55" spans="1:17" s="103" customFormat="1" ht="14.5" thickBot="1" x14ac:dyDescent="0.35">
      <c r="A55" s="175"/>
      <c r="B55" s="176"/>
      <c r="C55" s="176"/>
      <c r="D55" s="176"/>
      <c r="E55" s="183"/>
      <c r="F55" s="184"/>
      <c r="G55" s="176"/>
      <c r="H55" s="176"/>
      <c r="I55" s="176"/>
      <c r="J55" s="178"/>
      <c r="L55" s="167"/>
      <c r="M55" s="179"/>
      <c r="O55" s="104"/>
      <c r="P55" s="104"/>
      <c r="Q55" s="104"/>
    </row>
    <row r="56" spans="1:17" s="103" customFormat="1" ht="14.5" thickBot="1" x14ac:dyDescent="0.35">
      <c r="A56" s="175"/>
      <c r="B56" s="176"/>
      <c r="C56" s="176"/>
      <c r="D56" s="176"/>
      <c r="E56" s="183"/>
      <c r="F56" s="184"/>
      <c r="G56" s="176"/>
      <c r="H56" s="187"/>
      <c r="I56" s="188">
        <f>SUM(I52:I55)</f>
        <v>19015.516666666605</v>
      </c>
      <c r="J56" s="178"/>
      <c r="L56" s="167"/>
      <c r="M56" s="179"/>
      <c r="O56" s="104"/>
      <c r="P56" s="104"/>
      <c r="Q56" s="104"/>
    </row>
    <row r="57" spans="1:17" s="103" customFormat="1" ht="14" x14ac:dyDescent="0.3">
      <c r="A57" s="189"/>
      <c r="B57" s="190"/>
      <c r="C57" s="190"/>
      <c r="D57" s="190"/>
      <c r="E57" s="191"/>
      <c r="F57" s="190"/>
      <c r="G57" s="190"/>
      <c r="H57" s="190"/>
      <c r="I57" s="190"/>
      <c r="J57" s="192"/>
      <c r="L57" s="167"/>
      <c r="M57" s="179"/>
      <c r="O57" s="104"/>
      <c r="P57" s="104"/>
      <c r="Q57" s="104"/>
    </row>
    <row r="58" spans="1:17" s="103" customFormat="1" ht="14" x14ac:dyDescent="0.3">
      <c r="A58" s="109"/>
      <c r="L58" s="167"/>
      <c r="M58" s="179"/>
      <c r="O58" s="104"/>
      <c r="P58" s="104"/>
      <c r="Q58" s="104"/>
    </row>
    <row r="59" spans="1:17" s="103" customFormat="1" ht="14" x14ac:dyDescent="0.3">
      <c r="A59" s="193"/>
      <c r="L59" s="167"/>
      <c r="M59" s="179"/>
      <c r="O59" s="104"/>
      <c r="P59" s="104"/>
      <c r="Q59" s="104"/>
    </row>
    <row r="60" spans="1:17" s="103" customFormat="1" ht="14" x14ac:dyDescent="0.3">
      <c r="A60" s="109"/>
      <c r="L60" s="167"/>
      <c r="M60" s="179"/>
      <c r="O60" s="104"/>
      <c r="P60" s="104"/>
      <c r="Q60" s="104"/>
    </row>
    <row r="61" spans="1:17" s="103" customFormat="1" x14ac:dyDescent="0.25">
      <c r="A61" s="109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167"/>
      <c r="O61" s="104"/>
      <c r="P61" s="104"/>
      <c r="Q61" s="104"/>
    </row>
    <row r="62" spans="1:17" s="103" customFormat="1" ht="13" x14ac:dyDescent="0.3">
      <c r="A62" s="170" t="s">
        <v>114</v>
      </c>
      <c r="B62" s="171"/>
      <c r="C62" s="171"/>
      <c r="D62" s="171"/>
      <c r="E62" s="171"/>
      <c r="F62" s="171"/>
      <c r="G62" s="171"/>
      <c r="H62" s="171"/>
      <c r="I62" s="171"/>
      <c r="J62" s="172"/>
      <c r="K62" s="166"/>
      <c r="L62" s="167"/>
      <c r="O62" s="104"/>
      <c r="P62" s="104"/>
      <c r="Q62" s="104"/>
    </row>
    <row r="63" spans="1:17" s="103" customFormat="1" x14ac:dyDescent="0.25">
      <c r="A63" s="173"/>
      <c r="B63" s="142"/>
      <c r="C63" s="142"/>
      <c r="D63" s="142"/>
      <c r="E63" s="142"/>
      <c r="F63" s="142"/>
      <c r="G63" s="142"/>
      <c r="H63" s="142"/>
      <c r="I63" s="142"/>
      <c r="J63" s="174"/>
      <c r="K63" s="166"/>
      <c r="L63" s="167"/>
      <c r="O63" s="104"/>
      <c r="P63" s="104"/>
      <c r="Q63" s="104"/>
    </row>
    <row r="64" spans="1:17" s="103" customFormat="1" ht="13" x14ac:dyDescent="0.3">
      <c r="A64" s="175"/>
      <c r="B64" s="176"/>
      <c r="C64" s="176"/>
      <c r="D64" s="176"/>
      <c r="E64" s="177" t="s">
        <v>104</v>
      </c>
      <c r="F64" s="177" t="s">
        <v>104</v>
      </c>
      <c r="G64" s="177" t="s">
        <v>105</v>
      </c>
      <c r="H64" s="176"/>
      <c r="I64" s="176"/>
      <c r="J64" s="178"/>
      <c r="L64" s="167"/>
      <c r="M64" s="194"/>
      <c r="O64" s="104"/>
      <c r="P64" s="104"/>
      <c r="Q64" s="104"/>
    </row>
    <row r="65" spans="1:17" s="103" customFormat="1" ht="13" x14ac:dyDescent="0.3">
      <c r="A65" s="175"/>
      <c r="B65" s="180" t="s">
        <v>42</v>
      </c>
      <c r="C65" s="180" t="s">
        <v>106</v>
      </c>
      <c r="D65" s="176"/>
      <c r="E65" s="180" t="s">
        <v>107</v>
      </c>
      <c r="F65" s="180" t="s">
        <v>108</v>
      </c>
      <c r="G65" s="180" t="s">
        <v>108</v>
      </c>
      <c r="H65" s="205" t="s">
        <v>109</v>
      </c>
      <c r="I65" s="205"/>
      <c r="J65" s="178"/>
      <c r="L65" s="167"/>
      <c r="O65" s="104"/>
      <c r="P65" s="104"/>
      <c r="Q65" s="104"/>
    </row>
    <row r="66" spans="1:17" x14ac:dyDescent="0.25">
      <c r="A66" s="175"/>
      <c r="B66" s="176" t="s">
        <v>55</v>
      </c>
      <c r="C66" s="176" t="s">
        <v>110</v>
      </c>
      <c r="D66" s="176"/>
      <c r="E66" s="183">
        <f>299550-74250</f>
        <v>225300</v>
      </c>
      <c r="F66" s="184">
        <f>608050.5-206118</f>
        <v>401932.5</v>
      </c>
      <c r="G66" s="185">
        <f>E66*$K$42</f>
        <v>420948.0166666666</v>
      </c>
      <c r="H66" s="176"/>
      <c r="I66" s="186">
        <f>G66-F66</f>
        <v>19015.516666666605</v>
      </c>
      <c r="J66" s="178"/>
    </row>
    <row r="67" spans="1:17" s="103" customFormat="1" x14ac:dyDescent="0.25">
      <c r="A67" s="175"/>
      <c r="B67" s="176" t="s">
        <v>111</v>
      </c>
      <c r="C67" s="176" t="s">
        <v>112</v>
      </c>
      <c r="D67" s="176"/>
      <c r="E67" s="183">
        <v>0</v>
      </c>
      <c r="F67" s="184">
        <v>0</v>
      </c>
      <c r="G67" s="185">
        <f>E67*$L$42</f>
        <v>0</v>
      </c>
      <c r="H67" s="176"/>
      <c r="I67" s="186">
        <f t="shared" ref="I67:I68" si="14">G67-F67</f>
        <v>0</v>
      </c>
      <c r="J67" s="178"/>
      <c r="K67" s="166"/>
      <c r="L67" s="167"/>
      <c r="O67" s="104"/>
      <c r="P67" s="104"/>
      <c r="Q67" s="104"/>
    </row>
    <row r="68" spans="1:17" s="103" customFormat="1" x14ac:dyDescent="0.25">
      <c r="A68" s="175"/>
      <c r="B68" s="176" t="s">
        <v>113</v>
      </c>
      <c r="C68" s="176">
        <v>500</v>
      </c>
      <c r="D68" s="176"/>
      <c r="E68" s="183">
        <v>0</v>
      </c>
      <c r="F68" s="184">
        <v>0</v>
      </c>
      <c r="G68" s="185">
        <f>E68*$M$42</f>
        <v>0</v>
      </c>
      <c r="H68" s="176"/>
      <c r="I68" s="186">
        <f t="shared" si="14"/>
        <v>0</v>
      </c>
      <c r="J68" s="178"/>
      <c r="K68" s="166"/>
      <c r="L68" s="167"/>
      <c r="O68" s="104"/>
      <c r="P68" s="104"/>
      <c r="Q68" s="104"/>
    </row>
    <row r="69" spans="1:17" s="103" customFormat="1" ht="13" thickBot="1" x14ac:dyDescent="0.3">
      <c r="A69" s="175"/>
      <c r="B69" s="176"/>
      <c r="C69" s="176"/>
      <c r="D69" s="176"/>
      <c r="E69" s="183"/>
      <c r="F69" s="184"/>
      <c r="G69" s="176"/>
      <c r="H69" s="176"/>
      <c r="I69" s="176"/>
      <c r="J69" s="178"/>
      <c r="K69" s="166"/>
      <c r="L69" s="167"/>
      <c r="O69" s="104"/>
      <c r="P69" s="104"/>
      <c r="Q69" s="104"/>
    </row>
    <row r="70" spans="1:17" s="103" customFormat="1" ht="13" thickBot="1" x14ac:dyDescent="0.3">
      <c r="A70" s="175"/>
      <c r="B70" s="176"/>
      <c r="C70" s="176"/>
      <c r="D70" s="176"/>
      <c r="E70" s="183"/>
      <c r="F70" s="184"/>
      <c r="G70" s="176"/>
      <c r="H70" s="187"/>
      <c r="I70" s="188">
        <f>SUM(I66:I69)</f>
        <v>19015.516666666605</v>
      </c>
      <c r="J70" s="178"/>
      <c r="L70" s="167"/>
      <c r="M70" s="194"/>
      <c r="O70" s="104"/>
      <c r="P70" s="104"/>
      <c r="Q70" s="104"/>
    </row>
    <row r="71" spans="1:17" s="103" customFormat="1" x14ac:dyDescent="0.25">
      <c r="A71" s="189"/>
      <c r="B71" s="190"/>
      <c r="C71" s="190"/>
      <c r="D71" s="190"/>
      <c r="E71" s="191"/>
      <c r="F71" s="190"/>
      <c r="G71" s="190"/>
      <c r="H71" s="190"/>
      <c r="I71" s="190"/>
      <c r="J71" s="192"/>
      <c r="L71" s="167"/>
      <c r="O71" s="104"/>
      <c r="P71" s="104"/>
      <c r="Q71" s="104"/>
    </row>
    <row r="72" spans="1:17" s="103" customFormat="1" x14ac:dyDescent="0.25">
      <c r="A72" s="109"/>
      <c r="L72" s="167"/>
      <c r="O72" s="104"/>
      <c r="P72" s="104"/>
      <c r="Q72" s="104"/>
    </row>
    <row r="73" spans="1:17" ht="13" x14ac:dyDescent="0.3">
      <c r="A73" s="193"/>
    </row>
    <row r="74" spans="1:17" s="103" customFormat="1" x14ac:dyDescent="0.25">
      <c r="A74" s="109"/>
      <c r="L74" s="167"/>
      <c r="M74" s="194"/>
      <c r="O74" s="104"/>
      <c r="P74" s="104"/>
      <c r="Q74" s="104"/>
    </row>
    <row r="75" spans="1:17" s="103" customFormat="1" x14ac:dyDescent="0.25">
      <c r="A75" s="109"/>
      <c r="B75" s="165"/>
      <c r="C75" s="165"/>
      <c r="D75" s="165"/>
      <c r="E75" s="165"/>
      <c r="F75" s="165"/>
      <c r="G75" s="165"/>
      <c r="H75" s="165"/>
      <c r="I75" s="165"/>
      <c r="J75" s="165"/>
      <c r="K75" s="166"/>
      <c r="L75" s="167"/>
      <c r="O75" s="104"/>
      <c r="P75" s="104"/>
      <c r="Q75" s="104"/>
    </row>
    <row r="76" spans="1:17" s="103" customFormat="1" x14ac:dyDescent="0.25">
      <c r="A76" s="109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7"/>
      <c r="M76" s="165"/>
      <c r="O76" s="104"/>
      <c r="P76" s="104"/>
      <c r="Q76" s="104"/>
    </row>
    <row r="77" spans="1:17" s="103" customFormat="1" x14ac:dyDescent="0.25">
      <c r="A77" s="109"/>
      <c r="B77" s="165"/>
      <c r="C77" s="165"/>
      <c r="D77" s="165"/>
      <c r="E77" s="165"/>
      <c r="F77" s="165"/>
      <c r="G77" s="165"/>
      <c r="H77" s="165"/>
      <c r="I77" s="165"/>
      <c r="J77" s="165"/>
      <c r="K77" s="166"/>
      <c r="L77" s="167"/>
      <c r="O77" s="104"/>
      <c r="P77" s="104"/>
      <c r="Q77" s="104"/>
    </row>
    <row r="78" spans="1:17" s="103" customFormat="1" x14ac:dyDescent="0.25">
      <c r="A78" s="109"/>
      <c r="B78" s="165"/>
      <c r="C78" s="165"/>
      <c r="D78" s="165"/>
      <c r="E78" s="165"/>
      <c r="F78" s="165"/>
      <c r="G78" s="165"/>
      <c r="H78" s="165"/>
      <c r="I78" s="165"/>
      <c r="J78" s="165"/>
      <c r="K78" s="166"/>
      <c r="L78" s="167"/>
      <c r="M78" s="194"/>
      <c r="O78" s="104"/>
      <c r="P78" s="104"/>
      <c r="Q78" s="104"/>
    </row>
    <row r="79" spans="1:17" s="103" customFormat="1" x14ac:dyDescent="0.25">
      <c r="A79" s="109"/>
      <c r="B79" s="165"/>
      <c r="C79" s="165"/>
      <c r="D79" s="165"/>
      <c r="E79" s="165"/>
      <c r="F79" s="165"/>
      <c r="G79" s="165"/>
      <c r="H79" s="165"/>
      <c r="I79" s="165"/>
      <c r="J79" s="165"/>
      <c r="K79" s="166"/>
      <c r="L79" s="167"/>
      <c r="O79" s="104"/>
      <c r="P79" s="104"/>
      <c r="Q79" s="104"/>
    </row>
    <row r="80" spans="1:17" s="103" customFormat="1" x14ac:dyDescent="0.25">
      <c r="A80" s="109"/>
      <c r="L80" s="167"/>
      <c r="O80" s="104"/>
      <c r="P80" s="104"/>
      <c r="Q80" s="104"/>
    </row>
    <row r="81" spans="1:17" s="103" customFormat="1" x14ac:dyDescent="0.25">
      <c r="A81" s="109"/>
      <c r="L81" s="167"/>
      <c r="O81" s="104"/>
      <c r="P81" s="104"/>
      <c r="Q81" s="104"/>
    </row>
    <row r="82" spans="1:17" s="103" customFormat="1" x14ac:dyDescent="0.25">
      <c r="A82" s="109"/>
      <c r="B82" s="165"/>
      <c r="C82" s="165"/>
      <c r="D82" s="165"/>
      <c r="E82" s="165"/>
      <c r="F82" s="165"/>
      <c r="G82" s="165"/>
      <c r="H82" s="165"/>
      <c r="I82" s="165"/>
      <c r="J82" s="165"/>
      <c r="L82" s="167"/>
      <c r="M82" s="194"/>
      <c r="O82" s="104"/>
      <c r="P82" s="104"/>
      <c r="Q82" s="104"/>
    </row>
  </sheetData>
  <mergeCells count="8">
    <mergeCell ref="H51:I51"/>
    <mergeCell ref="H65:I65"/>
    <mergeCell ref="H6:J6"/>
    <mergeCell ref="K6:M6"/>
    <mergeCell ref="B7:D7"/>
    <mergeCell ref="E7:G7"/>
    <mergeCell ref="H7:J7"/>
    <mergeCell ref="K7:M7"/>
  </mergeCells>
  <pageMargins left="0" right="0" top="0.53" bottom="0.74" header="0.21" footer="0.4"/>
  <pageSetup scale="74" fitToHeight="0" orientation="portrait" r:id="rId1"/>
  <headerFooter alignWithMargins="0">
    <oddHeader xml:space="preserve">&amp;RKY PSC CN 2020-00378  
 Staff's Data Request Set 1 No. 5 Attachment D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September 20 TCPS CALC</vt:lpstr>
      <vt:lpstr>Sep 20 TCI REV</vt:lpstr>
      <vt:lpstr>September 20 GCI REV</vt:lpstr>
      <vt:lpstr>October 20 TCPS CALC</vt:lpstr>
      <vt:lpstr>October 20 TCI </vt:lpstr>
      <vt:lpstr>October 20 GCI </vt:lpstr>
      <vt:lpstr>November 20 TCPS CALC</vt:lpstr>
      <vt:lpstr>November 20 TCI </vt:lpstr>
      <vt:lpstr>November 20 GCI </vt:lpstr>
      <vt:lpstr>December 20 TCPS CALC</vt:lpstr>
      <vt:lpstr>December 20 TCI </vt:lpstr>
      <vt:lpstr>December 20 GCI </vt:lpstr>
      <vt:lpstr>January 21 TCPS CALC</vt:lpstr>
      <vt:lpstr>January 21 TCI </vt:lpstr>
      <vt:lpstr>January 21 GCI </vt:lpstr>
      <vt:lpstr>'December 20 GCI '!Print_Area</vt:lpstr>
      <vt:lpstr>'December 20 TCI '!Print_Area</vt:lpstr>
      <vt:lpstr>'December 20 TCPS CALC'!Print_Area</vt:lpstr>
      <vt:lpstr>'January 21 GCI '!Print_Area</vt:lpstr>
      <vt:lpstr>'January 21 TCI '!Print_Area</vt:lpstr>
      <vt:lpstr>'January 21 TCPS CALC'!Print_Area</vt:lpstr>
      <vt:lpstr>'November 20 GCI '!Print_Area</vt:lpstr>
      <vt:lpstr>'November 20 TCI '!Print_Area</vt:lpstr>
      <vt:lpstr>'November 20 TCPS CALC'!Print_Area</vt:lpstr>
      <vt:lpstr>'October 20 GCI '!Print_Area</vt:lpstr>
      <vt:lpstr>'October 20 TCI '!Print_Area</vt:lpstr>
      <vt:lpstr>'October 20 TCPS CALC'!Print_Area</vt:lpstr>
      <vt:lpstr>'Sep 20 TCI REV'!Print_Area</vt:lpstr>
      <vt:lpstr>'September 20 GCI REV'!Print_Area</vt:lpstr>
      <vt:lpstr>'September 20 TCPS CALC'!Print_Area</vt:lpstr>
      <vt:lpstr>'December 20 GCI '!Print_Titles</vt:lpstr>
      <vt:lpstr>'January 21 GCI '!Print_Titles</vt:lpstr>
      <vt:lpstr>'November 20 GCI '!Print_Titles</vt:lpstr>
      <vt:lpstr>'October 20 GCI '!Print_Titles</vt:lpstr>
      <vt:lpstr>'September 20 GCI REV'!Print_Titles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Liggett \ Sean \ David</dc:creator>
  <cp:lastModifiedBy>Ryan \ John</cp:lastModifiedBy>
  <cp:lastPrinted>2021-02-21T20:36:34Z</cp:lastPrinted>
  <dcterms:created xsi:type="dcterms:W3CDTF">2021-02-12T15:22:00Z</dcterms:created>
  <dcterms:modified xsi:type="dcterms:W3CDTF">2021-02-23T23:00:31Z</dcterms:modified>
</cp:coreProperties>
</file>