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John Ryan\CKY\2020-00378\Discovery\Staff First Set\Final Responses\"/>
    </mc:Choice>
  </mc:AlternateContent>
  <bookViews>
    <workbookView xWindow="0" yWindow="0" windowWidth="28800" windowHeight="12440" firstSheet="13" activeTab="20"/>
  </bookViews>
  <sheets>
    <sheet name="February 20 TCPS CALC" sheetId="1" r:id="rId1"/>
    <sheet name="February 20 TCI REV" sheetId="2" r:id="rId2"/>
    <sheet name="February 20 GCI REV" sheetId="3" r:id="rId3"/>
    <sheet name="March 20 TCPS CALC" sheetId="4" r:id="rId4"/>
    <sheet name="March 20 TCI REV" sheetId="5" r:id="rId5"/>
    <sheet name="March 20 GCI REV" sheetId="6" r:id="rId6"/>
    <sheet name="April 20 TCPS CALC" sheetId="10" r:id="rId7"/>
    <sheet name="April 20 TCI REV" sheetId="11" r:id="rId8"/>
    <sheet name="April 20 GCI REV" sheetId="12" r:id="rId9"/>
    <sheet name="May 20 TCPS CALC" sheetId="13" r:id="rId10"/>
    <sheet name="May 20 TCI REV" sheetId="14" r:id="rId11"/>
    <sheet name="May 20 GCI REV" sheetId="15" r:id="rId12"/>
    <sheet name="June 20 TCPS CALC" sheetId="16" r:id="rId13"/>
    <sheet name="June 20 TCI REV" sheetId="17" r:id="rId14"/>
    <sheet name="June 20 GCI REV" sheetId="18" r:id="rId15"/>
    <sheet name="July 20 TCPS CALC" sheetId="19" r:id="rId16"/>
    <sheet name="July 20 TCI REV" sheetId="20" r:id="rId17"/>
    <sheet name="July 20 GCI REV" sheetId="21" r:id="rId18"/>
    <sheet name="August 20 TCPS CALC" sheetId="22" r:id="rId19"/>
    <sheet name="Aug 20 TCI REV" sheetId="23" r:id="rId20"/>
    <sheet name="August 20 GCI REV" sheetId="24" r:id="rId21"/>
  </sheets>
  <definedNames>
    <definedName name="_xlnm.Print_Area" localSheetId="8">'April 20 GCI REV'!$A$1:$P$72</definedName>
    <definedName name="_xlnm.Print_Area" localSheetId="7">'April 20 TCI REV'!$A$1:$L$38</definedName>
    <definedName name="_xlnm.Print_Area" localSheetId="6">'April 20 TCPS CALC'!$A$1:$H$40</definedName>
    <definedName name="_xlnm.Print_Area" localSheetId="19">'Aug 20 TCI REV'!$A$1:$L$40</definedName>
    <definedName name="_xlnm.Print_Area" localSheetId="20">'August 20 GCI REV'!$A$1:$P$72</definedName>
    <definedName name="_xlnm.Print_Area" localSheetId="18">'August 20 TCPS CALC'!$A$1:$H$40</definedName>
    <definedName name="_xlnm.Print_Area" localSheetId="2">'February 20 GCI REV'!$A$1:$P$72</definedName>
    <definedName name="_xlnm.Print_Area" localSheetId="1">'February 20 TCI REV'!$A$1:$L$38</definedName>
    <definedName name="_xlnm.Print_Area" localSheetId="0">'February 20 TCPS CALC'!$A$8:$H$47</definedName>
    <definedName name="_xlnm.Print_Area" localSheetId="17">'July 20 GCI REV'!$A$1:$P$72</definedName>
    <definedName name="_xlnm.Print_Area" localSheetId="16">'July 20 TCI REV'!$A$1:$L$40</definedName>
    <definedName name="_xlnm.Print_Area" localSheetId="15">'July 20 TCPS CALC'!$A$1:$H$40</definedName>
    <definedName name="_xlnm.Print_Area" localSheetId="14">'June 20 GCI REV'!$A$1:$P$72</definedName>
    <definedName name="_xlnm.Print_Area" localSheetId="13">'June 20 TCI REV'!$A$1:$L$38</definedName>
    <definedName name="_xlnm.Print_Area" localSheetId="12">'June 20 TCPS CALC'!$A$1:$H$40</definedName>
    <definedName name="_xlnm.Print_Area" localSheetId="5">'March 20 GCI REV'!$A$1:$P$72</definedName>
    <definedName name="_xlnm.Print_Area" localSheetId="4">'March 20 TCI REV'!$A$1:$L$38</definedName>
    <definedName name="_xlnm.Print_Area" localSheetId="3">'March 20 TCPS CALC'!$A$1:$H$40</definedName>
    <definedName name="_xlnm.Print_Area" localSheetId="11">'May 20 GCI REV'!$A$1:$P$72</definedName>
    <definedName name="_xlnm.Print_Area" localSheetId="10">'May 20 TCI REV'!$A$1:$L$38</definedName>
    <definedName name="_xlnm.Print_Area" localSheetId="9">'May 20 TCPS CALC'!$A$1:$H$40</definedName>
    <definedName name="_xlnm.Print_Titles" localSheetId="8">'April 20 GCI REV'!$1:$9</definedName>
    <definedName name="_xlnm.Print_Titles" localSheetId="20">'August 20 GCI REV'!$1:$9</definedName>
    <definedName name="_xlnm.Print_Titles" localSheetId="2">'February 20 GCI REV'!$1:$9</definedName>
    <definedName name="_xlnm.Print_Titles" localSheetId="17">'July 20 GCI REV'!$1:$9</definedName>
    <definedName name="_xlnm.Print_Titles" localSheetId="14">'June 20 GCI REV'!$1:$9</definedName>
    <definedName name="_xlnm.Print_Titles" localSheetId="5">'March 20 GCI REV'!$1:$9</definedName>
    <definedName name="_xlnm.Print_Titles" localSheetId="11">'May 20 GCI REV'!$1:$9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24" l="1"/>
  <c r="E52" i="24"/>
  <c r="J8" i="23"/>
  <c r="L13" i="20"/>
  <c r="L12" i="20"/>
  <c r="L7" i="20"/>
  <c r="L19" i="17"/>
  <c r="J19" i="17"/>
  <c r="L14" i="17"/>
  <c r="L13" i="17"/>
  <c r="L8" i="17"/>
  <c r="L7" i="17"/>
  <c r="L14" i="14"/>
  <c r="L13" i="14"/>
  <c r="L8" i="14"/>
  <c r="L7" i="14"/>
  <c r="L15" i="5" l="1"/>
  <c r="L14" i="5"/>
  <c r="L13" i="5"/>
  <c r="L9" i="5"/>
  <c r="L8" i="5"/>
  <c r="L7" i="5"/>
  <c r="L15" i="2"/>
  <c r="L14" i="2"/>
  <c r="L13" i="2"/>
  <c r="L9" i="2"/>
  <c r="L8" i="2"/>
  <c r="L7" i="2"/>
  <c r="F66" i="24" l="1"/>
  <c r="E66" i="24"/>
  <c r="G42" i="24"/>
  <c r="F42" i="24"/>
  <c r="E42" i="24"/>
  <c r="D40" i="24"/>
  <c r="C40" i="24"/>
  <c r="B40" i="24"/>
  <c r="D39" i="24"/>
  <c r="C39" i="24"/>
  <c r="B39" i="24"/>
  <c r="D38" i="24"/>
  <c r="C38" i="24"/>
  <c r="B38" i="24"/>
  <c r="D37" i="24"/>
  <c r="C37" i="24"/>
  <c r="B37" i="24"/>
  <c r="D36" i="24"/>
  <c r="C36" i="24"/>
  <c r="B36" i="24"/>
  <c r="L35" i="24"/>
  <c r="J35" i="24"/>
  <c r="J36" i="24" s="1"/>
  <c r="I35" i="24"/>
  <c r="I36" i="24" s="1"/>
  <c r="H35" i="24"/>
  <c r="P35" i="24" s="1"/>
  <c r="D35" i="24"/>
  <c r="M35" i="24" s="1"/>
  <c r="C35" i="24"/>
  <c r="B35" i="24"/>
  <c r="K35" i="24" s="1"/>
  <c r="P34" i="24"/>
  <c r="M34" i="24"/>
  <c r="L34" i="24"/>
  <c r="D34" i="24"/>
  <c r="C34" i="24"/>
  <c r="B34" i="24"/>
  <c r="K34" i="24" s="1"/>
  <c r="D33" i="24"/>
  <c r="C33" i="24"/>
  <c r="B33" i="24"/>
  <c r="D32" i="24"/>
  <c r="C32" i="24"/>
  <c r="B32" i="24"/>
  <c r="D31" i="24"/>
  <c r="C31" i="24"/>
  <c r="B31" i="24"/>
  <c r="D30" i="24"/>
  <c r="C30" i="24"/>
  <c r="B30" i="24"/>
  <c r="D29" i="24"/>
  <c r="C29" i="24"/>
  <c r="B29" i="24"/>
  <c r="M28" i="24"/>
  <c r="J28" i="24"/>
  <c r="J29" i="24" s="1"/>
  <c r="I28" i="24"/>
  <c r="I29" i="24" s="1"/>
  <c r="H28" i="24"/>
  <c r="P28" i="24" s="1"/>
  <c r="D28" i="24"/>
  <c r="C28" i="24"/>
  <c r="L28" i="24" s="1"/>
  <c r="B28" i="24"/>
  <c r="K28" i="24" s="1"/>
  <c r="P27" i="24"/>
  <c r="M27" i="24"/>
  <c r="K27" i="24"/>
  <c r="D27" i="24"/>
  <c r="C27" i="24"/>
  <c r="L27" i="24" s="1"/>
  <c r="B27" i="24"/>
  <c r="D26" i="24"/>
  <c r="C26" i="24"/>
  <c r="L26" i="24" s="1"/>
  <c r="B26" i="24"/>
  <c r="D25" i="24"/>
  <c r="C25" i="24"/>
  <c r="B25" i="24"/>
  <c r="D24" i="24"/>
  <c r="C24" i="24"/>
  <c r="B24" i="24"/>
  <c r="D23" i="24"/>
  <c r="C23" i="24"/>
  <c r="L23" i="24" s="1"/>
  <c r="B23" i="24"/>
  <c r="D22" i="24"/>
  <c r="C22" i="24"/>
  <c r="L22" i="24" s="1"/>
  <c r="B22" i="24"/>
  <c r="J21" i="24"/>
  <c r="J22" i="24" s="1"/>
  <c r="I21" i="24"/>
  <c r="I22" i="24" s="1"/>
  <c r="I23" i="24" s="1"/>
  <c r="I24" i="24" s="1"/>
  <c r="I25" i="24" s="1"/>
  <c r="I26" i="24" s="1"/>
  <c r="H21" i="24"/>
  <c r="K21" i="24" s="1"/>
  <c r="D21" i="24"/>
  <c r="M21" i="24" s="1"/>
  <c r="C21" i="24"/>
  <c r="L21" i="24" s="1"/>
  <c r="B21" i="24"/>
  <c r="P20" i="24"/>
  <c r="L20" i="24"/>
  <c r="K20" i="24"/>
  <c r="D20" i="24"/>
  <c r="M20" i="24" s="1"/>
  <c r="C20" i="24"/>
  <c r="B20" i="24"/>
  <c r="D19" i="24"/>
  <c r="C19" i="24"/>
  <c r="B19" i="24"/>
  <c r="D18" i="24"/>
  <c r="C18" i="24"/>
  <c r="B18" i="24"/>
  <c r="D17" i="24"/>
  <c r="M17" i="24" s="1"/>
  <c r="C17" i="24"/>
  <c r="B17" i="24"/>
  <c r="D16" i="24"/>
  <c r="C16" i="24"/>
  <c r="B16" i="24"/>
  <c r="D15" i="24"/>
  <c r="C15" i="24"/>
  <c r="B15" i="24"/>
  <c r="P14" i="24"/>
  <c r="K14" i="24"/>
  <c r="J14" i="24"/>
  <c r="J15" i="24" s="1"/>
  <c r="J16" i="24" s="1"/>
  <c r="J17" i="24" s="1"/>
  <c r="J18" i="24" s="1"/>
  <c r="J19" i="24" s="1"/>
  <c r="I14" i="24"/>
  <c r="L14" i="24" s="1"/>
  <c r="H14" i="24"/>
  <c r="H15" i="24" s="1"/>
  <c r="D14" i="24"/>
  <c r="M14" i="24" s="1"/>
  <c r="C14" i="24"/>
  <c r="B14" i="24"/>
  <c r="P13" i="24"/>
  <c r="M13" i="24"/>
  <c r="L13" i="24"/>
  <c r="K13" i="24"/>
  <c r="D13" i="24"/>
  <c r="C13" i="24"/>
  <c r="B13" i="24"/>
  <c r="H12" i="24"/>
  <c r="P12" i="24" s="1"/>
  <c r="D12" i="24"/>
  <c r="C12" i="24"/>
  <c r="B12" i="24"/>
  <c r="K12" i="24" s="1"/>
  <c r="L11" i="24"/>
  <c r="J11" i="24"/>
  <c r="M11" i="24" s="1"/>
  <c r="I11" i="24"/>
  <c r="I12" i="24" s="1"/>
  <c r="L12" i="24" s="1"/>
  <c r="H11" i="24"/>
  <c r="P11" i="24" s="1"/>
  <c r="D11" i="24"/>
  <c r="D42" i="24" s="1"/>
  <c r="C11" i="24"/>
  <c r="C42" i="24" s="1"/>
  <c r="B11" i="24"/>
  <c r="K11" i="24" s="1"/>
  <c r="P10" i="24"/>
  <c r="M10" i="24"/>
  <c r="L10" i="24"/>
  <c r="K10" i="24"/>
  <c r="C3" i="24"/>
  <c r="A10" i="24" s="1"/>
  <c r="E30" i="23"/>
  <c r="D30" i="23"/>
  <c r="L23" i="23"/>
  <c r="J23" i="23"/>
  <c r="G18" i="23"/>
  <c r="J14" i="23"/>
  <c r="L13" i="23"/>
  <c r="L14" i="23" s="1"/>
  <c r="L16" i="23" s="1"/>
  <c r="L25" i="23" s="1"/>
  <c r="J13" i="23"/>
  <c r="J12" i="23"/>
  <c r="L9" i="23"/>
  <c r="J9" i="23"/>
  <c r="J16" i="23" s="1"/>
  <c r="L8" i="23"/>
  <c r="J7" i="23"/>
  <c r="B3" i="23"/>
  <c r="B28" i="23" s="1"/>
  <c r="A26" i="22"/>
  <c r="F19" i="22"/>
  <c r="D19" i="22"/>
  <c r="F18" i="22"/>
  <c r="F26" i="22" s="1"/>
  <c r="D18" i="22"/>
  <c r="D26" i="22" s="1"/>
  <c r="A18" i="22"/>
  <c r="F16" i="22"/>
  <c r="D16" i="22"/>
  <c r="D24" i="22" s="1"/>
  <c r="A9" i="22"/>
  <c r="A11" i="22" s="1"/>
  <c r="A12" i="22" s="1"/>
  <c r="A13" i="22" s="1"/>
  <c r="A8" i="22"/>
  <c r="F5" i="22"/>
  <c r="D5" i="22"/>
  <c r="J25" i="23" l="1"/>
  <c r="K29" i="24"/>
  <c r="I37" i="24"/>
  <c r="L36" i="24"/>
  <c r="N10" i="24"/>
  <c r="A11" i="24"/>
  <c r="L15" i="24"/>
  <c r="L32" i="24"/>
  <c r="D8" i="22"/>
  <c r="D7" i="22"/>
  <c r="M15" i="24"/>
  <c r="J23" i="24"/>
  <c r="J24" i="24" s="1"/>
  <c r="M22" i="24"/>
  <c r="L24" i="24"/>
  <c r="M36" i="24"/>
  <c r="J37" i="24"/>
  <c r="J38" i="24" s="1"/>
  <c r="P15" i="24"/>
  <c r="H16" i="24"/>
  <c r="K15" i="24"/>
  <c r="M18" i="24"/>
  <c r="I30" i="24"/>
  <c r="I31" i="24" s="1"/>
  <c r="I32" i="24" s="1"/>
  <c r="I33" i="24" s="1"/>
  <c r="L29" i="24"/>
  <c r="L33" i="24"/>
  <c r="M16" i="24"/>
  <c r="L25" i="24"/>
  <c r="J30" i="24"/>
  <c r="M29" i="24"/>
  <c r="M19" i="24"/>
  <c r="J12" i="24"/>
  <c r="M12" i="24" s="1"/>
  <c r="I15" i="24"/>
  <c r="I16" i="24" s="1"/>
  <c r="H22" i="24"/>
  <c r="F24" i="22"/>
  <c r="H29" i="24"/>
  <c r="H36" i="24"/>
  <c r="K36" i="24" s="1"/>
  <c r="B42" i="24"/>
  <c r="P21" i="24"/>
  <c r="F66" i="21"/>
  <c r="E66" i="21"/>
  <c r="F52" i="21"/>
  <c r="E52" i="21"/>
  <c r="G42" i="21"/>
  <c r="F42" i="21"/>
  <c r="E42" i="21"/>
  <c r="D40" i="21"/>
  <c r="C40" i="21"/>
  <c r="B40" i="21"/>
  <c r="L39" i="21"/>
  <c r="J39" i="21"/>
  <c r="J40" i="21" s="1"/>
  <c r="M40" i="21" s="1"/>
  <c r="I39" i="21"/>
  <c r="I40" i="21" s="1"/>
  <c r="L40" i="21" s="1"/>
  <c r="D39" i="21"/>
  <c r="M39" i="21" s="1"/>
  <c r="C39" i="21"/>
  <c r="B39" i="21"/>
  <c r="K39" i="21" s="1"/>
  <c r="M38" i="21"/>
  <c r="L38" i="21"/>
  <c r="J38" i="21"/>
  <c r="I38" i="21"/>
  <c r="H38" i="21"/>
  <c r="H39" i="21" s="1"/>
  <c r="D38" i="21"/>
  <c r="C38" i="21"/>
  <c r="B38" i="21"/>
  <c r="K38" i="21" s="1"/>
  <c r="P37" i="21"/>
  <c r="L37" i="21"/>
  <c r="D37" i="21"/>
  <c r="M37" i="21" s="1"/>
  <c r="C37" i="21"/>
  <c r="B37" i="21"/>
  <c r="K37" i="21" s="1"/>
  <c r="D36" i="21"/>
  <c r="C36" i="21"/>
  <c r="B36" i="21"/>
  <c r="D35" i="21"/>
  <c r="C35" i="21"/>
  <c r="B35" i="21"/>
  <c r="D34" i="21"/>
  <c r="C34" i="21"/>
  <c r="B34" i="21"/>
  <c r="D33" i="21"/>
  <c r="C33" i="21"/>
  <c r="B33" i="21"/>
  <c r="H32" i="21"/>
  <c r="P32" i="21" s="1"/>
  <c r="D32" i="21"/>
  <c r="C32" i="21"/>
  <c r="L32" i="21" s="1"/>
  <c r="B32" i="21"/>
  <c r="K32" i="21" s="1"/>
  <c r="P31" i="21"/>
  <c r="M31" i="21"/>
  <c r="J31" i="21"/>
  <c r="J32" i="21" s="1"/>
  <c r="I31" i="21"/>
  <c r="I32" i="21" s="1"/>
  <c r="I33" i="21" s="1"/>
  <c r="H31" i="21"/>
  <c r="D31" i="21"/>
  <c r="C31" i="21"/>
  <c r="B31" i="21"/>
  <c r="K31" i="21" s="1"/>
  <c r="P30" i="21"/>
  <c r="M30" i="21"/>
  <c r="K30" i="21"/>
  <c r="D30" i="21"/>
  <c r="C30" i="21"/>
  <c r="L30" i="21" s="1"/>
  <c r="B30" i="21"/>
  <c r="D29" i="21"/>
  <c r="C29" i="21"/>
  <c r="B29" i="21"/>
  <c r="D28" i="21"/>
  <c r="C28" i="21"/>
  <c r="B28" i="21"/>
  <c r="D27" i="21"/>
  <c r="C27" i="21"/>
  <c r="B27" i="21"/>
  <c r="D26" i="21"/>
  <c r="C26" i="21"/>
  <c r="B26" i="21"/>
  <c r="D25" i="21"/>
  <c r="C25" i="21"/>
  <c r="B25" i="21"/>
  <c r="J24" i="21"/>
  <c r="J25" i="21" s="1"/>
  <c r="I24" i="21"/>
  <c r="I25" i="21" s="1"/>
  <c r="I26" i="21" s="1"/>
  <c r="I27" i="21" s="1"/>
  <c r="I28" i="21" s="1"/>
  <c r="I29" i="21" s="1"/>
  <c r="H24" i="21"/>
  <c r="P24" i="21" s="1"/>
  <c r="D24" i="21"/>
  <c r="C24" i="21"/>
  <c r="L24" i="21" s="1"/>
  <c r="B24" i="21"/>
  <c r="K24" i="21" s="1"/>
  <c r="P23" i="21"/>
  <c r="L23" i="21"/>
  <c r="D23" i="21"/>
  <c r="M23" i="21" s="1"/>
  <c r="C23" i="21"/>
  <c r="B23" i="21"/>
  <c r="K23" i="21" s="1"/>
  <c r="D22" i="21"/>
  <c r="C22" i="21"/>
  <c r="L22" i="21" s="1"/>
  <c r="B22" i="21"/>
  <c r="D21" i="21"/>
  <c r="C21" i="21"/>
  <c r="B21" i="21"/>
  <c r="D20" i="21"/>
  <c r="C20" i="21"/>
  <c r="B20" i="21"/>
  <c r="D19" i="21"/>
  <c r="C19" i="21"/>
  <c r="B19" i="21"/>
  <c r="D18" i="21"/>
  <c r="C18" i="21"/>
  <c r="B18" i="21"/>
  <c r="P17" i="21"/>
  <c r="K17" i="21"/>
  <c r="J17" i="21"/>
  <c r="J18" i="21" s="1"/>
  <c r="J19" i="21" s="1"/>
  <c r="J20" i="21" s="1"/>
  <c r="J21" i="21" s="1"/>
  <c r="J22" i="21" s="1"/>
  <c r="I17" i="21"/>
  <c r="I18" i="21" s="1"/>
  <c r="I19" i="21" s="1"/>
  <c r="I20" i="21" s="1"/>
  <c r="I21" i="21" s="1"/>
  <c r="I22" i="21" s="1"/>
  <c r="H17" i="21"/>
  <c r="H18" i="21" s="1"/>
  <c r="D17" i="21"/>
  <c r="M17" i="21" s="1"/>
  <c r="C17" i="21"/>
  <c r="L17" i="21" s="1"/>
  <c r="B17" i="21"/>
  <c r="P16" i="21"/>
  <c r="M16" i="21"/>
  <c r="K16" i="21"/>
  <c r="D16" i="21"/>
  <c r="C16" i="21"/>
  <c r="L16" i="21" s="1"/>
  <c r="B16" i="21"/>
  <c r="D15" i="21"/>
  <c r="C15" i="21"/>
  <c r="B15" i="21"/>
  <c r="D14" i="21"/>
  <c r="C14" i="21"/>
  <c r="B14" i="21"/>
  <c r="D13" i="21"/>
  <c r="C13" i="21"/>
  <c r="B13" i="21"/>
  <c r="D12" i="21"/>
  <c r="C12" i="21"/>
  <c r="B12" i="21"/>
  <c r="K12" i="21" s="1"/>
  <c r="L11" i="21"/>
  <c r="J11" i="21"/>
  <c r="I11" i="21"/>
  <c r="I12" i="21" s="1"/>
  <c r="H11" i="21"/>
  <c r="H12" i="21" s="1"/>
  <c r="D11" i="21"/>
  <c r="M11" i="21" s="1"/>
  <c r="C11" i="21"/>
  <c r="C42" i="21" s="1"/>
  <c r="B11" i="21"/>
  <c r="B42" i="21" s="1"/>
  <c r="P10" i="21"/>
  <c r="M10" i="21"/>
  <c r="L10" i="21"/>
  <c r="K10" i="21"/>
  <c r="C3" i="21"/>
  <c r="A10" i="21" s="1"/>
  <c r="E30" i="20"/>
  <c r="D30" i="20"/>
  <c r="L23" i="20"/>
  <c r="J23" i="20"/>
  <c r="L14" i="20"/>
  <c r="J13" i="20"/>
  <c r="J14" i="20" s="1"/>
  <c r="J16" i="20" s="1"/>
  <c r="J25" i="20" s="1"/>
  <c r="J12" i="20"/>
  <c r="J9" i="20"/>
  <c r="L8" i="20"/>
  <c r="L9" i="20" s="1"/>
  <c r="J8" i="20"/>
  <c r="J7" i="20"/>
  <c r="B3" i="20"/>
  <c r="B28" i="20" s="1"/>
  <c r="A26" i="19"/>
  <c r="F19" i="19"/>
  <c r="F18" i="19" s="1"/>
  <c r="F26" i="19" s="1"/>
  <c r="D19" i="19"/>
  <c r="D18" i="19"/>
  <c r="D24" i="19" s="1"/>
  <c r="A18" i="19"/>
  <c r="F16" i="19"/>
  <c r="D16" i="19"/>
  <c r="A8" i="19"/>
  <c r="A9" i="19" s="1"/>
  <c r="A11" i="19" s="1"/>
  <c r="A12" i="19" s="1"/>
  <c r="A13" i="19" s="1"/>
  <c r="F5" i="19"/>
  <c r="D5" i="19"/>
  <c r="F66" i="18"/>
  <c r="E66" i="18"/>
  <c r="F52" i="18"/>
  <c r="E52" i="18"/>
  <c r="G42" i="18"/>
  <c r="F42" i="18"/>
  <c r="E42" i="18"/>
  <c r="P39" i="18"/>
  <c r="L39" i="18"/>
  <c r="D39" i="18"/>
  <c r="M39" i="18" s="1"/>
  <c r="C39" i="18"/>
  <c r="B39" i="18"/>
  <c r="K39" i="18" s="1"/>
  <c r="D38" i="18"/>
  <c r="C38" i="18"/>
  <c r="B38" i="18"/>
  <c r="D37" i="18"/>
  <c r="C37" i="18"/>
  <c r="B37" i="18"/>
  <c r="D36" i="18"/>
  <c r="C36" i="18"/>
  <c r="B36" i="18"/>
  <c r="D35" i="18"/>
  <c r="C35" i="18"/>
  <c r="B35" i="18"/>
  <c r="M34" i="18"/>
  <c r="J34" i="18"/>
  <c r="J35" i="18" s="1"/>
  <c r="J36" i="18" s="1"/>
  <c r="I34" i="18"/>
  <c r="L34" i="18" s="1"/>
  <c r="D34" i="18"/>
  <c r="C34" i="18"/>
  <c r="B34" i="18"/>
  <c r="P33" i="18"/>
  <c r="J33" i="18"/>
  <c r="I33" i="18"/>
  <c r="H33" i="18"/>
  <c r="H34" i="18" s="1"/>
  <c r="D33" i="18"/>
  <c r="M33" i="18" s="1"/>
  <c r="C33" i="18"/>
  <c r="L33" i="18" s="1"/>
  <c r="B33" i="18"/>
  <c r="K33" i="18" s="1"/>
  <c r="P32" i="18"/>
  <c r="M32" i="18"/>
  <c r="K32" i="18"/>
  <c r="D32" i="18"/>
  <c r="C32" i="18"/>
  <c r="L32" i="18" s="1"/>
  <c r="B32" i="18"/>
  <c r="D31" i="18"/>
  <c r="C31" i="18"/>
  <c r="B31" i="18"/>
  <c r="D30" i="18"/>
  <c r="C30" i="18"/>
  <c r="B30" i="18"/>
  <c r="D29" i="18"/>
  <c r="C29" i="18"/>
  <c r="B29" i="18"/>
  <c r="D28" i="18"/>
  <c r="C28" i="18"/>
  <c r="B28" i="18"/>
  <c r="J27" i="18"/>
  <c r="M27" i="18" s="1"/>
  <c r="D27" i="18"/>
  <c r="C27" i="18"/>
  <c r="B27" i="18"/>
  <c r="J26" i="18"/>
  <c r="I26" i="18"/>
  <c r="I27" i="18" s="1"/>
  <c r="H26" i="18"/>
  <c r="P26" i="18" s="1"/>
  <c r="D26" i="18"/>
  <c r="M26" i="18" s="1"/>
  <c r="C26" i="18"/>
  <c r="L26" i="18" s="1"/>
  <c r="B26" i="18"/>
  <c r="P25" i="18"/>
  <c r="L25" i="18"/>
  <c r="K25" i="18"/>
  <c r="D25" i="18"/>
  <c r="M25" i="18" s="1"/>
  <c r="C25" i="18"/>
  <c r="B25" i="18"/>
  <c r="P24" i="18"/>
  <c r="M24" i="18"/>
  <c r="L24" i="18"/>
  <c r="K24" i="18"/>
  <c r="D24" i="18"/>
  <c r="C24" i="18"/>
  <c r="B24" i="18"/>
  <c r="P23" i="18"/>
  <c r="M23" i="18"/>
  <c r="L23" i="18"/>
  <c r="D23" i="18"/>
  <c r="C23" i="18"/>
  <c r="B23" i="18"/>
  <c r="K23" i="18" s="1"/>
  <c r="P22" i="18"/>
  <c r="M22" i="18"/>
  <c r="D22" i="18"/>
  <c r="C22" i="18"/>
  <c r="L22" i="18" s="1"/>
  <c r="B22" i="18"/>
  <c r="K22" i="18" s="1"/>
  <c r="P21" i="18"/>
  <c r="D21" i="18"/>
  <c r="M21" i="18" s="1"/>
  <c r="C21" i="18"/>
  <c r="L21" i="18" s="1"/>
  <c r="B21" i="18"/>
  <c r="K21" i="18" s="1"/>
  <c r="P20" i="18"/>
  <c r="K20" i="18"/>
  <c r="D20" i="18"/>
  <c r="M20" i="18" s="1"/>
  <c r="C20" i="18"/>
  <c r="L20" i="18" s="1"/>
  <c r="B20" i="18"/>
  <c r="P19" i="18"/>
  <c r="L19" i="18"/>
  <c r="D19" i="18"/>
  <c r="M19" i="18" s="1"/>
  <c r="C19" i="18"/>
  <c r="B19" i="18"/>
  <c r="K19" i="18" s="1"/>
  <c r="P18" i="18"/>
  <c r="M18" i="18"/>
  <c r="K18" i="18"/>
  <c r="D18" i="18"/>
  <c r="C18" i="18"/>
  <c r="L18" i="18" s="1"/>
  <c r="B18" i="18"/>
  <c r="D17" i="18"/>
  <c r="C17" i="18"/>
  <c r="B17" i="18"/>
  <c r="D16" i="18"/>
  <c r="C16" i="18"/>
  <c r="B16" i="18"/>
  <c r="D15" i="18"/>
  <c r="C15" i="18"/>
  <c r="B15" i="18"/>
  <c r="D14" i="18"/>
  <c r="M14" i="18" s="1"/>
  <c r="C14" i="18"/>
  <c r="B14" i="18"/>
  <c r="J13" i="18"/>
  <c r="J14" i="18" s="1"/>
  <c r="J15" i="18" s="1"/>
  <c r="D13" i="18"/>
  <c r="C13" i="18"/>
  <c r="B13" i="18"/>
  <c r="J12" i="18"/>
  <c r="I12" i="18"/>
  <c r="H12" i="18"/>
  <c r="P12" i="18" s="1"/>
  <c r="D12" i="18"/>
  <c r="M12" i="18" s="1"/>
  <c r="C12" i="18"/>
  <c r="C42" i="18" s="1"/>
  <c r="B12" i="18"/>
  <c r="P11" i="18"/>
  <c r="L11" i="18"/>
  <c r="K11" i="18"/>
  <c r="D11" i="18"/>
  <c r="D42" i="18" s="1"/>
  <c r="C11" i="18"/>
  <c r="B11" i="18"/>
  <c r="P10" i="18"/>
  <c r="M10" i="18"/>
  <c r="L10" i="18"/>
  <c r="K10" i="18"/>
  <c r="C3" i="18"/>
  <c r="A10" i="18" s="1"/>
  <c r="L17" i="17"/>
  <c r="J14" i="17"/>
  <c r="J13" i="17"/>
  <c r="J17" i="17" s="1"/>
  <c r="L10" i="17"/>
  <c r="J8" i="17"/>
  <c r="J7" i="17"/>
  <c r="J10" i="17" s="1"/>
  <c r="B3" i="17"/>
  <c r="F26" i="16"/>
  <c r="A26" i="16"/>
  <c r="F18" i="16"/>
  <c r="D18" i="16"/>
  <c r="D26" i="16" s="1"/>
  <c r="A18" i="16"/>
  <c r="F16" i="16"/>
  <c r="F24" i="16" s="1"/>
  <c r="D16" i="16"/>
  <c r="D24" i="16" s="1"/>
  <c r="A8" i="16"/>
  <c r="A9" i="16" s="1"/>
  <c r="A11" i="16" s="1"/>
  <c r="A12" i="16" s="1"/>
  <c r="A13" i="16" s="1"/>
  <c r="F5" i="16"/>
  <c r="D5" i="16"/>
  <c r="F66" i="15"/>
  <c r="E66" i="15"/>
  <c r="F52" i="15"/>
  <c r="E52" i="15"/>
  <c r="G42" i="15"/>
  <c r="F42" i="15"/>
  <c r="E42" i="15"/>
  <c r="D40" i="15"/>
  <c r="C40" i="15"/>
  <c r="B40" i="15"/>
  <c r="D39" i="15"/>
  <c r="C39" i="15"/>
  <c r="B39" i="15"/>
  <c r="P38" i="15"/>
  <c r="H38" i="15"/>
  <c r="H39" i="15" s="1"/>
  <c r="D38" i="15"/>
  <c r="M38" i="15" s="1"/>
  <c r="C38" i="15"/>
  <c r="B38" i="15"/>
  <c r="K38" i="15" s="1"/>
  <c r="K37" i="15"/>
  <c r="J37" i="15"/>
  <c r="J38" i="15" s="1"/>
  <c r="J39" i="15" s="1"/>
  <c r="J40" i="15" s="1"/>
  <c r="I37" i="15"/>
  <c r="L37" i="15" s="1"/>
  <c r="H37" i="15"/>
  <c r="P37" i="15" s="1"/>
  <c r="D37" i="15"/>
  <c r="M37" i="15" s="1"/>
  <c r="C37" i="15"/>
  <c r="B37" i="15"/>
  <c r="P36" i="15"/>
  <c r="M36" i="15"/>
  <c r="L36" i="15"/>
  <c r="D36" i="15"/>
  <c r="C36" i="15"/>
  <c r="B36" i="15"/>
  <c r="K36" i="15" s="1"/>
  <c r="D35" i="15"/>
  <c r="C35" i="15"/>
  <c r="B35" i="15"/>
  <c r="D34" i="15"/>
  <c r="C34" i="15"/>
  <c r="B34" i="15"/>
  <c r="D33" i="15"/>
  <c r="C33" i="15"/>
  <c r="B33" i="15"/>
  <c r="D32" i="15"/>
  <c r="C32" i="15"/>
  <c r="B32" i="15"/>
  <c r="D31" i="15"/>
  <c r="C31" i="15"/>
  <c r="B31" i="15"/>
  <c r="J30" i="15"/>
  <c r="M30" i="15" s="1"/>
  <c r="D30" i="15"/>
  <c r="C30" i="15"/>
  <c r="B30" i="15"/>
  <c r="M29" i="15"/>
  <c r="J29" i="15"/>
  <c r="I29" i="15"/>
  <c r="I30" i="15" s="1"/>
  <c r="H29" i="15"/>
  <c r="H30" i="15" s="1"/>
  <c r="D29" i="15"/>
  <c r="C29" i="15"/>
  <c r="L29" i="15" s="1"/>
  <c r="B29" i="15"/>
  <c r="K29" i="15" s="1"/>
  <c r="P28" i="15"/>
  <c r="L28" i="15"/>
  <c r="D28" i="15"/>
  <c r="M28" i="15" s="1"/>
  <c r="C28" i="15"/>
  <c r="B28" i="15"/>
  <c r="K28" i="15" s="1"/>
  <c r="D27" i="15"/>
  <c r="C27" i="15"/>
  <c r="B27" i="15"/>
  <c r="D26" i="15"/>
  <c r="C26" i="15"/>
  <c r="B26" i="15"/>
  <c r="D25" i="15"/>
  <c r="C25" i="15"/>
  <c r="L25" i="15" s="1"/>
  <c r="B25" i="15"/>
  <c r="D24" i="15"/>
  <c r="C24" i="15"/>
  <c r="B24" i="15"/>
  <c r="H23" i="15"/>
  <c r="P23" i="15" s="1"/>
  <c r="D23" i="15"/>
  <c r="C23" i="15"/>
  <c r="B23" i="15"/>
  <c r="K23" i="15" s="1"/>
  <c r="P22" i="15"/>
  <c r="J22" i="15"/>
  <c r="J23" i="15" s="1"/>
  <c r="I22" i="15"/>
  <c r="I23" i="15" s="1"/>
  <c r="I24" i="15" s="1"/>
  <c r="I25" i="15" s="1"/>
  <c r="I26" i="15" s="1"/>
  <c r="I27" i="15" s="1"/>
  <c r="H22" i="15"/>
  <c r="D22" i="15"/>
  <c r="M22" i="15" s="1"/>
  <c r="C22" i="15"/>
  <c r="L22" i="15" s="1"/>
  <c r="B22" i="15"/>
  <c r="K22" i="15" s="1"/>
  <c r="P21" i="15"/>
  <c r="M21" i="15"/>
  <c r="K21" i="15"/>
  <c r="D21" i="15"/>
  <c r="C21" i="15"/>
  <c r="L21" i="15" s="1"/>
  <c r="B21" i="15"/>
  <c r="D20" i="15"/>
  <c r="C20" i="15"/>
  <c r="B20" i="15"/>
  <c r="D19" i="15"/>
  <c r="M19" i="15" s="1"/>
  <c r="C19" i="15"/>
  <c r="B19" i="15"/>
  <c r="D18" i="15"/>
  <c r="C18" i="15"/>
  <c r="B18" i="15"/>
  <c r="D17" i="15"/>
  <c r="C17" i="15"/>
  <c r="L17" i="15" s="1"/>
  <c r="B17" i="15"/>
  <c r="I16" i="15"/>
  <c r="I17" i="15" s="1"/>
  <c r="I18" i="15" s="1"/>
  <c r="I19" i="15" s="1"/>
  <c r="I20" i="15" s="1"/>
  <c r="D16" i="15"/>
  <c r="C16" i="15"/>
  <c r="L16" i="15" s="1"/>
  <c r="B16" i="15"/>
  <c r="J15" i="15"/>
  <c r="J16" i="15" s="1"/>
  <c r="J17" i="15" s="1"/>
  <c r="J18" i="15" s="1"/>
  <c r="J19" i="15" s="1"/>
  <c r="J20" i="15" s="1"/>
  <c r="I15" i="15"/>
  <c r="H15" i="15"/>
  <c r="P15" i="15" s="1"/>
  <c r="D15" i="15"/>
  <c r="M15" i="15" s="1"/>
  <c r="C15" i="15"/>
  <c r="L15" i="15" s="1"/>
  <c r="B15" i="15"/>
  <c r="P14" i="15"/>
  <c r="L14" i="15"/>
  <c r="K14" i="15"/>
  <c r="D14" i="15"/>
  <c r="M14" i="15" s="1"/>
  <c r="C14" i="15"/>
  <c r="B14" i="15"/>
  <c r="D13" i="15"/>
  <c r="C13" i="15"/>
  <c r="B13" i="15"/>
  <c r="I12" i="15"/>
  <c r="I13" i="15" s="1"/>
  <c r="L13" i="15" s="1"/>
  <c r="D12" i="15"/>
  <c r="M12" i="15" s="1"/>
  <c r="C12" i="15"/>
  <c r="B12" i="15"/>
  <c r="P11" i="15"/>
  <c r="L11" i="15"/>
  <c r="J11" i="15"/>
  <c r="J12" i="15" s="1"/>
  <c r="I11" i="15"/>
  <c r="H11" i="15"/>
  <c r="H12" i="15" s="1"/>
  <c r="D11" i="15"/>
  <c r="D42" i="15" s="1"/>
  <c r="C11" i="15"/>
  <c r="C42" i="15" s="1"/>
  <c r="B11" i="15"/>
  <c r="K11" i="15" s="1"/>
  <c r="P10" i="15"/>
  <c r="M10" i="15"/>
  <c r="L10" i="15"/>
  <c r="K10" i="15"/>
  <c r="C3" i="15"/>
  <c r="A10" i="15" s="1"/>
  <c r="L17" i="14"/>
  <c r="J14" i="14"/>
  <c r="J13" i="14"/>
  <c r="J17" i="14" s="1"/>
  <c r="L10" i="14"/>
  <c r="J8" i="14"/>
  <c r="J7" i="14"/>
  <c r="J10" i="14" s="1"/>
  <c r="B3" i="14"/>
  <c r="A26" i="13"/>
  <c r="D19" i="13"/>
  <c r="D18" i="13" s="1"/>
  <c r="D26" i="13" s="1"/>
  <c r="F18" i="13"/>
  <c r="F26" i="13" s="1"/>
  <c r="A18" i="13"/>
  <c r="F16" i="13"/>
  <c r="F24" i="13" s="1"/>
  <c r="D16" i="13"/>
  <c r="A12" i="13"/>
  <c r="A13" i="13" s="1"/>
  <c r="A11" i="13"/>
  <c r="A9" i="13"/>
  <c r="A8" i="13"/>
  <c r="F5" i="13"/>
  <c r="D5" i="13"/>
  <c r="L26" i="17" l="1"/>
  <c r="J26" i="17"/>
  <c r="L26" i="14"/>
  <c r="P22" i="24"/>
  <c r="H23" i="24"/>
  <c r="M38" i="24"/>
  <c r="J39" i="24"/>
  <c r="L16" i="24"/>
  <c r="I17" i="24"/>
  <c r="L30" i="24"/>
  <c r="D9" i="22"/>
  <c r="M37" i="24"/>
  <c r="F7" i="22"/>
  <c r="F9" i="22" s="1"/>
  <c r="F8" i="22"/>
  <c r="J25" i="24"/>
  <c r="M24" i="24"/>
  <c r="A12" i="24"/>
  <c r="N11" i="24"/>
  <c r="K22" i="24"/>
  <c r="H37" i="24"/>
  <c r="P36" i="24"/>
  <c r="M30" i="24"/>
  <c r="J31" i="24"/>
  <c r="I38" i="24"/>
  <c r="L37" i="24"/>
  <c r="H30" i="24"/>
  <c r="P29" i="24"/>
  <c r="L31" i="24"/>
  <c r="H17" i="24"/>
  <c r="P16" i="24"/>
  <c r="K16" i="24"/>
  <c r="M23" i="24"/>
  <c r="L19" i="21"/>
  <c r="L28" i="21"/>
  <c r="J33" i="21"/>
  <c r="M32" i="21"/>
  <c r="M22" i="21"/>
  <c r="L26" i="21"/>
  <c r="M19" i="21"/>
  <c r="L20" i="21"/>
  <c r="L29" i="21"/>
  <c r="P39" i="21"/>
  <c r="H40" i="21"/>
  <c r="P40" i="21" s="1"/>
  <c r="L36" i="21"/>
  <c r="F24" i="19"/>
  <c r="M12" i="21"/>
  <c r="M20" i="21"/>
  <c r="L16" i="20"/>
  <c r="L25" i="20" s="1"/>
  <c r="L18" i="21"/>
  <c r="J26" i="21"/>
  <c r="M25" i="21"/>
  <c r="L27" i="21"/>
  <c r="D8" i="19"/>
  <c r="D7" i="19"/>
  <c r="D9" i="19" s="1"/>
  <c r="A11" i="21"/>
  <c r="N10" i="21"/>
  <c r="P12" i="21"/>
  <c r="H13" i="21"/>
  <c r="M18" i="21"/>
  <c r="L21" i="21"/>
  <c r="L35" i="21"/>
  <c r="K40" i="21"/>
  <c r="I13" i="21"/>
  <c r="L12" i="21"/>
  <c r="H19" i="21"/>
  <c r="K18" i="21"/>
  <c r="P18" i="21"/>
  <c r="M21" i="21"/>
  <c r="L25" i="21"/>
  <c r="I34" i="21"/>
  <c r="I35" i="21" s="1"/>
  <c r="I36" i="21" s="1"/>
  <c r="L33" i="21"/>
  <c r="K33" i="21"/>
  <c r="J12" i="21"/>
  <c r="J13" i="21" s="1"/>
  <c r="J14" i="21" s="1"/>
  <c r="J15" i="21" s="1"/>
  <c r="M15" i="21" s="1"/>
  <c r="D26" i="19"/>
  <c r="P11" i="21"/>
  <c r="H33" i="21"/>
  <c r="P38" i="21"/>
  <c r="H25" i="21"/>
  <c r="D42" i="21"/>
  <c r="K11" i="21"/>
  <c r="M24" i="21"/>
  <c r="L31" i="21"/>
  <c r="M37" i="18"/>
  <c r="A11" i="18"/>
  <c r="N10" i="18"/>
  <c r="L28" i="18"/>
  <c r="M35" i="18"/>
  <c r="I28" i="18"/>
  <c r="I29" i="18" s="1"/>
  <c r="L27" i="18"/>
  <c r="F7" i="16"/>
  <c r="F9" i="16" s="1"/>
  <c r="F8" i="16"/>
  <c r="K13" i="18"/>
  <c r="D8" i="16"/>
  <c r="D7" i="16"/>
  <c r="D9" i="16" s="1"/>
  <c r="M28" i="18"/>
  <c r="J16" i="18"/>
  <c r="J17" i="18" s="1"/>
  <c r="M17" i="18" s="1"/>
  <c r="M15" i="18"/>
  <c r="K34" i="18"/>
  <c r="P34" i="18"/>
  <c r="H35" i="18"/>
  <c r="K35" i="18" s="1"/>
  <c r="J37" i="18"/>
  <c r="J38" i="18" s="1"/>
  <c r="M38" i="18" s="1"/>
  <c r="M36" i="18"/>
  <c r="M11" i="18"/>
  <c r="J28" i="18"/>
  <c r="J29" i="18" s="1"/>
  <c r="K26" i="18"/>
  <c r="L12" i="18"/>
  <c r="H13" i="18"/>
  <c r="H27" i="18"/>
  <c r="I35" i="18"/>
  <c r="I36" i="18" s="1"/>
  <c r="K12" i="18"/>
  <c r="I13" i="18"/>
  <c r="B42" i="18"/>
  <c r="M13" i="18"/>
  <c r="L19" i="15"/>
  <c r="J24" i="15"/>
  <c r="J25" i="15" s="1"/>
  <c r="M23" i="15"/>
  <c r="M24" i="15"/>
  <c r="L27" i="15"/>
  <c r="M40" i="15"/>
  <c r="P39" i="15"/>
  <c r="K39" i="15"/>
  <c r="H40" i="15"/>
  <c r="P40" i="15" s="1"/>
  <c r="H31" i="15"/>
  <c r="P30" i="15"/>
  <c r="K31" i="15"/>
  <c r="M17" i="15"/>
  <c r="L20" i="15"/>
  <c r="L23" i="15"/>
  <c r="L30" i="15"/>
  <c r="I31" i="15"/>
  <c r="I32" i="15" s="1"/>
  <c r="L31" i="15"/>
  <c r="M20" i="15"/>
  <c r="A11" i="15"/>
  <c r="N10" i="15"/>
  <c r="P12" i="15"/>
  <c r="H13" i="15"/>
  <c r="P13" i="15" s="1"/>
  <c r="K12" i="15"/>
  <c r="L18" i="15"/>
  <c r="L26" i="15"/>
  <c r="M39" i="15"/>
  <c r="D24" i="13"/>
  <c r="K13" i="15"/>
  <c r="M18" i="15"/>
  <c r="K30" i="15"/>
  <c r="K40" i="15"/>
  <c r="F8" i="13"/>
  <c r="F7" i="13"/>
  <c r="F9" i="13" s="1"/>
  <c r="J26" i="14"/>
  <c r="J13" i="15"/>
  <c r="M13" i="15" s="1"/>
  <c r="M16" i="15"/>
  <c r="L24" i="15"/>
  <c r="M11" i="15"/>
  <c r="H24" i="15"/>
  <c r="P29" i="15"/>
  <c r="L12" i="15"/>
  <c r="B42" i="15"/>
  <c r="H16" i="15"/>
  <c r="J31" i="15"/>
  <c r="I38" i="15"/>
  <c r="K15" i="15"/>
  <c r="J32" i="24" l="1"/>
  <c r="M31" i="24"/>
  <c r="J26" i="24"/>
  <c r="M26" i="24" s="1"/>
  <c r="M25" i="24"/>
  <c r="N12" i="24"/>
  <c r="A13" i="24"/>
  <c r="I18" i="24"/>
  <c r="L17" i="24"/>
  <c r="I39" i="24"/>
  <c r="L38" i="24"/>
  <c r="J40" i="24"/>
  <c r="M40" i="24" s="1"/>
  <c r="M39" i="24"/>
  <c r="P17" i="24"/>
  <c r="K17" i="24"/>
  <c r="H18" i="24"/>
  <c r="P37" i="24"/>
  <c r="H38" i="24"/>
  <c r="K37" i="24"/>
  <c r="K23" i="24"/>
  <c r="P23" i="24"/>
  <c r="H24" i="24"/>
  <c r="P30" i="24"/>
  <c r="H31" i="24"/>
  <c r="K30" i="24"/>
  <c r="H14" i="21"/>
  <c r="K13" i="21"/>
  <c r="P13" i="21"/>
  <c r="H34" i="21"/>
  <c r="P33" i="21"/>
  <c r="I14" i="21"/>
  <c r="L13" i="21"/>
  <c r="J27" i="21"/>
  <c r="M26" i="21"/>
  <c r="F7" i="19"/>
  <c r="F9" i="19" s="1"/>
  <c r="F8" i="19"/>
  <c r="J34" i="21"/>
  <c r="M33" i="21"/>
  <c r="A12" i="21"/>
  <c r="N11" i="21"/>
  <c r="P19" i="21"/>
  <c r="H20" i="21"/>
  <c r="K19" i="21"/>
  <c r="M13" i="21"/>
  <c r="L34" i="21"/>
  <c r="M14" i="21"/>
  <c r="P25" i="21"/>
  <c r="H26" i="21"/>
  <c r="K25" i="21"/>
  <c r="L36" i="18"/>
  <c r="I37" i="18"/>
  <c r="P27" i="18"/>
  <c r="H28" i="18"/>
  <c r="A12" i="18"/>
  <c r="N11" i="18"/>
  <c r="P13" i="18"/>
  <c r="H14" i="18"/>
  <c r="H36" i="18"/>
  <c r="P35" i="18"/>
  <c r="L13" i="18"/>
  <c r="I14" i="18"/>
  <c r="J30" i="18"/>
  <c r="M29" i="18"/>
  <c r="K27" i="18"/>
  <c r="L35" i="18"/>
  <c r="L29" i="18"/>
  <c r="I30" i="18"/>
  <c r="M16" i="18"/>
  <c r="K16" i="15"/>
  <c r="P16" i="15"/>
  <c r="H17" i="15"/>
  <c r="L32" i="15"/>
  <c r="I33" i="15"/>
  <c r="J26" i="15"/>
  <c r="M25" i="15"/>
  <c r="M31" i="15"/>
  <c r="J32" i="15"/>
  <c r="D7" i="13"/>
  <c r="D8" i="13"/>
  <c r="H32" i="15"/>
  <c r="P31" i="15"/>
  <c r="A12" i="15"/>
  <c r="N11" i="15"/>
  <c r="L38" i="15"/>
  <c r="I39" i="15"/>
  <c r="H25" i="15"/>
  <c r="P24" i="15"/>
  <c r="K24" i="15"/>
  <c r="P24" i="24" l="1"/>
  <c r="H25" i="24"/>
  <c r="K24" i="24"/>
  <c r="L18" i="24"/>
  <c r="I19" i="24"/>
  <c r="L19" i="24" s="1"/>
  <c r="A14" i="24"/>
  <c r="N13" i="24"/>
  <c r="J33" i="24"/>
  <c r="M33" i="24" s="1"/>
  <c r="M42" i="24" s="1"/>
  <c r="M32" i="24"/>
  <c r="I40" i="24"/>
  <c r="L40" i="24" s="1"/>
  <c r="L39" i="24"/>
  <c r="L42" i="24" s="1"/>
  <c r="H19" i="24"/>
  <c r="P18" i="24"/>
  <c r="K18" i="24"/>
  <c r="H39" i="24"/>
  <c r="P38" i="24"/>
  <c r="K38" i="24"/>
  <c r="H32" i="24"/>
  <c r="P31" i="24"/>
  <c r="K31" i="24"/>
  <c r="I42" i="24"/>
  <c r="I15" i="21"/>
  <c r="L14" i="21"/>
  <c r="J35" i="21"/>
  <c r="M34" i="21"/>
  <c r="P34" i="21"/>
  <c r="H35" i="21"/>
  <c r="K34" i="21"/>
  <c r="P14" i="21"/>
  <c r="H15" i="21"/>
  <c r="K14" i="21"/>
  <c r="J28" i="21"/>
  <c r="M27" i="21"/>
  <c r="P26" i="21"/>
  <c r="H27" i="21"/>
  <c r="K26" i="21"/>
  <c r="H21" i="21"/>
  <c r="K20" i="21"/>
  <c r="P20" i="21"/>
  <c r="A13" i="21"/>
  <c r="N12" i="21"/>
  <c r="I15" i="18"/>
  <c r="L14" i="18"/>
  <c r="I38" i="18"/>
  <c r="L38" i="18" s="1"/>
  <c r="L37" i="18"/>
  <c r="I31" i="18"/>
  <c r="L31" i="18" s="1"/>
  <c r="L30" i="18"/>
  <c r="H37" i="18"/>
  <c r="K36" i="18"/>
  <c r="P36" i="18"/>
  <c r="K28" i="18"/>
  <c r="P28" i="18"/>
  <c r="H29" i="18"/>
  <c r="P14" i="18"/>
  <c r="H15" i="18"/>
  <c r="K14" i="18"/>
  <c r="J31" i="18"/>
  <c r="M30" i="18"/>
  <c r="A13" i="18"/>
  <c r="N12" i="18"/>
  <c r="P32" i="15"/>
  <c r="H33" i="15"/>
  <c r="K32" i="15"/>
  <c r="I34" i="15"/>
  <c r="L33" i="15"/>
  <c r="P25" i="15"/>
  <c r="H26" i="15"/>
  <c r="K25" i="15"/>
  <c r="D9" i="13"/>
  <c r="P17" i="15"/>
  <c r="H18" i="15"/>
  <c r="K17" i="15"/>
  <c r="I40" i="15"/>
  <c r="L40" i="15" s="1"/>
  <c r="L39" i="15"/>
  <c r="J33" i="15"/>
  <c r="M32" i="15"/>
  <c r="A13" i="15"/>
  <c r="N12" i="15"/>
  <c r="J27" i="15"/>
  <c r="M27" i="15" s="1"/>
  <c r="M26" i="15"/>
  <c r="G67" i="24" l="1"/>
  <c r="I67" i="24" s="1"/>
  <c r="G53" i="24"/>
  <c r="I53" i="24" s="1"/>
  <c r="G68" i="24"/>
  <c r="I68" i="24" s="1"/>
  <c r="G54" i="24"/>
  <c r="I54" i="24" s="1"/>
  <c r="A15" i="24"/>
  <c r="N14" i="24"/>
  <c r="K19" i="24"/>
  <c r="P19" i="24"/>
  <c r="P39" i="24"/>
  <c r="H40" i="24"/>
  <c r="K39" i="24"/>
  <c r="P32" i="24"/>
  <c r="H33" i="24"/>
  <c r="K32" i="24"/>
  <c r="J42" i="24"/>
  <c r="K25" i="24"/>
  <c r="P25" i="24"/>
  <c r="H26" i="24"/>
  <c r="H36" i="21"/>
  <c r="P35" i="21"/>
  <c r="K35" i="21"/>
  <c r="A14" i="21"/>
  <c r="N13" i="21"/>
  <c r="J29" i="21"/>
  <c r="M29" i="21" s="1"/>
  <c r="M28" i="21"/>
  <c r="J42" i="21"/>
  <c r="P27" i="21"/>
  <c r="H28" i="21"/>
  <c r="K27" i="21"/>
  <c r="J36" i="21"/>
  <c r="M36" i="21" s="1"/>
  <c r="M35" i="21"/>
  <c r="K15" i="21"/>
  <c r="P15" i="21"/>
  <c r="P21" i="21"/>
  <c r="H22" i="21"/>
  <c r="K21" i="21"/>
  <c r="L15" i="21"/>
  <c r="L42" i="21" s="1"/>
  <c r="I42" i="21"/>
  <c r="I16" i="18"/>
  <c r="L15" i="18"/>
  <c r="H38" i="18"/>
  <c r="P37" i="18"/>
  <c r="K37" i="18"/>
  <c r="H30" i="18"/>
  <c r="P29" i="18"/>
  <c r="K29" i="18"/>
  <c r="N13" i="18"/>
  <c r="A14" i="18"/>
  <c r="M31" i="18"/>
  <c r="M42" i="18" s="1"/>
  <c r="J42" i="18"/>
  <c r="H16" i="18"/>
  <c r="P15" i="18"/>
  <c r="K15" i="18"/>
  <c r="K18" i="15"/>
  <c r="P18" i="15"/>
  <c r="H19" i="15"/>
  <c r="L34" i="15"/>
  <c r="I35" i="15"/>
  <c r="A14" i="15"/>
  <c r="N13" i="15"/>
  <c r="H34" i="15"/>
  <c r="P33" i="15"/>
  <c r="K33" i="15"/>
  <c r="M33" i="15"/>
  <c r="J34" i="15"/>
  <c r="H27" i="15"/>
  <c r="P26" i="15"/>
  <c r="K26" i="15"/>
  <c r="P26" i="24" l="1"/>
  <c r="K26" i="24"/>
  <c r="H42" i="24"/>
  <c r="A16" i="24"/>
  <c r="N15" i="24"/>
  <c r="P40" i="24"/>
  <c r="K40" i="24"/>
  <c r="P33" i="24"/>
  <c r="K33" i="24"/>
  <c r="A15" i="21"/>
  <c r="N14" i="21"/>
  <c r="G67" i="21"/>
  <c r="I67" i="21" s="1"/>
  <c r="G53" i="21"/>
  <c r="I53" i="21" s="1"/>
  <c r="K22" i="21"/>
  <c r="P22" i="21"/>
  <c r="P28" i="21"/>
  <c r="H29" i="21"/>
  <c r="K28" i="21"/>
  <c r="M42" i="21"/>
  <c r="P36" i="21"/>
  <c r="K36" i="21"/>
  <c r="P30" i="18"/>
  <c r="K30" i="18"/>
  <c r="H31" i="18"/>
  <c r="I17" i="18"/>
  <c r="L17" i="18" s="1"/>
  <c r="L42" i="18" s="1"/>
  <c r="L16" i="18"/>
  <c r="K16" i="18"/>
  <c r="P16" i="18"/>
  <c r="H17" i="18"/>
  <c r="H42" i="18"/>
  <c r="G54" i="18"/>
  <c r="I54" i="18" s="1"/>
  <c r="G68" i="18"/>
  <c r="I68" i="18" s="1"/>
  <c r="P38" i="18"/>
  <c r="K38" i="18"/>
  <c r="A15" i="18"/>
  <c r="N14" i="18"/>
  <c r="L42" i="15"/>
  <c r="M34" i="15"/>
  <c r="J35" i="15"/>
  <c r="M35" i="15" s="1"/>
  <c r="M42" i="15" s="1"/>
  <c r="J42" i="15"/>
  <c r="P27" i="15"/>
  <c r="K27" i="15"/>
  <c r="L35" i="15"/>
  <c r="I42" i="15"/>
  <c r="P19" i="15"/>
  <c r="K19" i="15"/>
  <c r="H20" i="15"/>
  <c r="P34" i="15"/>
  <c r="H35" i="15"/>
  <c r="K34" i="15"/>
  <c r="A15" i="15"/>
  <c r="N14" i="15"/>
  <c r="K42" i="24" l="1"/>
  <c r="A17" i="24"/>
  <c r="N16" i="24"/>
  <c r="P29" i="21"/>
  <c r="K29" i="21"/>
  <c r="K42" i="21" s="1"/>
  <c r="H42" i="21"/>
  <c r="A16" i="21"/>
  <c r="N15" i="21"/>
  <c r="G68" i="21"/>
  <c r="I68" i="21" s="1"/>
  <c r="G54" i="21"/>
  <c r="I54" i="21" s="1"/>
  <c r="N15" i="18"/>
  <c r="A16" i="18"/>
  <c r="P17" i="18"/>
  <c r="K17" i="18"/>
  <c r="G67" i="18"/>
  <c r="I67" i="18" s="1"/>
  <c r="G53" i="18"/>
  <c r="I53" i="18" s="1"/>
  <c r="P31" i="18"/>
  <c r="K31" i="18"/>
  <c r="K42" i="18" s="1"/>
  <c r="I42" i="18"/>
  <c r="G53" i="15"/>
  <c r="I53" i="15" s="1"/>
  <c r="G67" i="15"/>
  <c r="I67" i="15" s="1"/>
  <c r="N15" i="15"/>
  <c r="A16" i="15"/>
  <c r="P35" i="15"/>
  <c r="K35" i="15"/>
  <c r="K42" i="15" s="1"/>
  <c r="K20" i="15"/>
  <c r="P20" i="15"/>
  <c r="H42" i="15"/>
  <c r="G68" i="15"/>
  <c r="I68" i="15" s="1"/>
  <c r="G54" i="15"/>
  <c r="I54" i="15" s="1"/>
  <c r="G52" i="24" l="1"/>
  <c r="I52" i="24" s="1"/>
  <c r="I56" i="24" s="1"/>
  <c r="G66" i="24"/>
  <c r="I66" i="24" s="1"/>
  <c r="I70" i="24" s="1"/>
  <c r="A18" i="24"/>
  <c r="N17" i="24"/>
  <c r="A17" i="21"/>
  <c r="N16" i="21"/>
  <c r="G52" i="21"/>
  <c r="I52" i="21" s="1"/>
  <c r="I56" i="21" s="1"/>
  <c r="G66" i="21"/>
  <c r="I66" i="21" s="1"/>
  <c r="I70" i="21" s="1"/>
  <c r="G52" i="18"/>
  <c r="I52" i="18" s="1"/>
  <c r="I56" i="18" s="1"/>
  <c r="G66" i="18"/>
  <c r="I66" i="18" s="1"/>
  <c r="I70" i="18" s="1"/>
  <c r="N16" i="18"/>
  <c r="A17" i="18"/>
  <c r="G66" i="15"/>
  <c r="I66" i="15" s="1"/>
  <c r="I70" i="15" s="1"/>
  <c r="G52" i="15"/>
  <c r="I52" i="15" s="1"/>
  <c r="I56" i="15" s="1"/>
  <c r="N16" i="15"/>
  <c r="A17" i="15"/>
  <c r="A19" i="24" l="1"/>
  <c r="N18" i="24"/>
  <c r="A18" i="21"/>
  <c r="N17" i="21"/>
  <c r="N17" i="18"/>
  <c r="A18" i="18"/>
  <c r="N17" i="15"/>
  <c r="A18" i="15"/>
  <c r="A20" i="24" l="1"/>
  <c r="N19" i="24"/>
  <c r="A19" i="21"/>
  <c r="N18" i="21"/>
  <c r="A19" i="18"/>
  <c r="N18" i="18"/>
  <c r="N18" i="15"/>
  <c r="A19" i="15"/>
  <c r="N20" i="24" l="1"/>
  <c r="A21" i="24"/>
  <c r="A20" i="21"/>
  <c r="N19" i="21"/>
  <c r="A20" i="18"/>
  <c r="N19" i="18"/>
  <c r="N19" i="15"/>
  <c r="A20" i="15"/>
  <c r="A22" i="24" l="1"/>
  <c r="N21" i="24"/>
  <c r="A21" i="21"/>
  <c r="N20" i="21"/>
  <c r="A21" i="18"/>
  <c r="N20" i="18"/>
  <c r="N20" i="15"/>
  <c r="A21" i="15"/>
  <c r="A23" i="24" l="1"/>
  <c r="N22" i="24"/>
  <c r="A22" i="21"/>
  <c r="N21" i="21"/>
  <c r="A22" i="18"/>
  <c r="N21" i="18"/>
  <c r="A22" i="15"/>
  <c r="N21" i="15"/>
  <c r="A24" i="24" l="1"/>
  <c r="N23" i="24"/>
  <c r="A23" i="21"/>
  <c r="N22" i="21"/>
  <c r="N22" i="18"/>
  <c r="A23" i="18"/>
  <c r="N22" i="15"/>
  <c r="A23" i="15"/>
  <c r="N24" i="24" l="1"/>
  <c r="A25" i="24"/>
  <c r="A24" i="21"/>
  <c r="N23" i="21"/>
  <c r="N23" i="18"/>
  <c r="A24" i="18"/>
  <c r="A24" i="15"/>
  <c r="N23" i="15"/>
  <c r="A26" i="24" l="1"/>
  <c r="N25" i="24"/>
  <c r="N24" i="21"/>
  <c r="A25" i="21"/>
  <c r="A25" i="18"/>
  <c r="N24" i="18"/>
  <c r="N24" i="15"/>
  <c r="A25" i="15"/>
  <c r="N26" i="24" l="1"/>
  <c r="A27" i="24"/>
  <c r="A26" i="21"/>
  <c r="N25" i="21"/>
  <c r="N25" i="18"/>
  <c r="A26" i="18"/>
  <c r="A26" i="15"/>
  <c r="N25" i="15"/>
  <c r="N27" i="24" l="1"/>
  <c r="A28" i="24"/>
  <c r="N26" i="21"/>
  <c r="A27" i="21"/>
  <c r="A27" i="18"/>
  <c r="N26" i="18"/>
  <c r="N26" i="15"/>
  <c r="A27" i="15"/>
  <c r="A29" i="24" l="1"/>
  <c r="N28" i="24"/>
  <c r="A28" i="21"/>
  <c r="N27" i="21"/>
  <c r="N27" i="18"/>
  <c r="A28" i="18"/>
  <c r="N27" i="15"/>
  <c r="A28" i="15"/>
  <c r="N29" i="24" l="1"/>
  <c r="A30" i="24"/>
  <c r="N28" i="21"/>
  <c r="A29" i="21"/>
  <c r="N28" i="18"/>
  <c r="A29" i="18"/>
  <c r="A29" i="15"/>
  <c r="N28" i="15"/>
  <c r="A31" i="24" l="1"/>
  <c r="N30" i="24"/>
  <c r="A30" i="21"/>
  <c r="N29" i="21"/>
  <c r="A30" i="18"/>
  <c r="N29" i="18"/>
  <c r="A30" i="15"/>
  <c r="N29" i="15"/>
  <c r="N31" i="24" l="1"/>
  <c r="A32" i="24"/>
  <c r="A31" i="21"/>
  <c r="N30" i="21"/>
  <c r="N30" i="18"/>
  <c r="A31" i="18"/>
  <c r="A31" i="15"/>
  <c r="N30" i="15"/>
  <c r="A33" i="24" l="1"/>
  <c r="N32" i="24"/>
  <c r="N31" i="21"/>
  <c r="A32" i="21"/>
  <c r="A32" i="18"/>
  <c r="N31" i="18"/>
  <c r="A32" i="15"/>
  <c r="N31" i="15"/>
  <c r="N33" i="24" l="1"/>
  <c r="A34" i="24"/>
  <c r="A33" i="21"/>
  <c r="N32" i="21"/>
  <c r="A33" i="18"/>
  <c r="N32" i="18"/>
  <c r="A33" i="15"/>
  <c r="N32" i="15"/>
  <c r="A35" i="24" l="1"/>
  <c r="N34" i="24"/>
  <c r="N33" i="21"/>
  <c r="A34" i="21"/>
  <c r="N33" i="18"/>
  <c r="A34" i="18"/>
  <c r="A34" i="15"/>
  <c r="N33" i="15"/>
  <c r="A36" i="24" l="1"/>
  <c r="N35" i="24"/>
  <c r="A35" i="21"/>
  <c r="N34" i="21"/>
  <c r="A35" i="18"/>
  <c r="N34" i="18"/>
  <c r="A35" i="15"/>
  <c r="N34" i="15"/>
  <c r="A37" i="24" l="1"/>
  <c r="N36" i="24"/>
  <c r="N35" i="21"/>
  <c r="A36" i="21"/>
  <c r="A36" i="18"/>
  <c r="N35" i="18"/>
  <c r="A36" i="15"/>
  <c r="N35" i="15"/>
  <c r="A38" i="24" l="1"/>
  <c r="N37" i="24"/>
  <c r="A37" i="21"/>
  <c r="N36" i="21"/>
  <c r="A37" i="18"/>
  <c r="N36" i="18"/>
  <c r="A37" i="15"/>
  <c r="N36" i="15"/>
  <c r="A39" i="24" l="1"/>
  <c r="N38" i="24"/>
  <c r="A38" i="21"/>
  <c r="N37" i="21"/>
  <c r="N37" i="18"/>
  <c r="A38" i="18"/>
  <c r="A38" i="15"/>
  <c r="N37" i="15"/>
  <c r="A40" i="24" l="1"/>
  <c r="N40" i="24" s="1"/>
  <c r="N39" i="24"/>
  <c r="A39" i="21"/>
  <c r="N38" i="21"/>
  <c r="A39" i="18"/>
  <c r="N39" i="18" s="1"/>
  <c r="N38" i="18"/>
  <c r="A39" i="15"/>
  <c r="N38" i="15"/>
  <c r="A40" i="21" l="1"/>
  <c r="N40" i="21" s="1"/>
  <c r="N39" i="21"/>
  <c r="A40" i="15"/>
  <c r="N40" i="15" s="1"/>
  <c r="N39" i="15"/>
  <c r="F68" i="12" l="1"/>
  <c r="E68" i="12"/>
  <c r="F66" i="12"/>
  <c r="E66" i="12"/>
  <c r="F54" i="12"/>
  <c r="E54" i="12"/>
  <c r="F52" i="12"/>
  <c r="E52" i="12"/>
  <c r="G42" i="12"/>
  <c r="F42" i="12"/>
  <c r="E42" i="12"/>
  <c r="D39" i="12"/>
  <c r="C39" i="12"/>
  <c r="B39" i="12"/>
  <c r="M38" i="12"/>
  <c r="L38" i="12"/>
  <c r="J38" i="12"/>
  <c r="J39" i="12" s="1"/>
  <c r="M39" i="12" s="1"/>
  <c r="I38" i="12"/>
  <c r="I39" i="12" s="1"/>
  <c r="L39" i="12" s="1"/>
  <c r="H38" i="12"/>
  <c r="P38" i="12" s="1"/>
  <c r="D38" i="12"/>
  <c r="C38" i="12"/>
  <c r="B38" i="12"/>
  <c r="K38" i="12" s="1"/>
  <c r="P37" i="12"/>
  <c r="M37" i="12"/>
  <c r="L37" i="12"/>
  <c r="D37" i="12"/>
  <c r="C37" i="12"/>
  <c r="B37" i="12"/>
  <c r="K37" i="12" s="1"/>
  <c r="D36" i="12"/>
  <c r="C36" i="12"/>
  <c r="B36" i="12"/>
  <c r="D35" i="12"/>
  <c r="C35" i="12"/>
  <c r="B35" i="12"/>
  <c r="D34" i="12"/>
  <c r="C34" i="12"/>
  <c r="B34" i="12"/>
  <c r="D33" i="12"/>
  <c r="C33" i="12"/>
  <c r="L33" i="12" s="1"/>
  <c r="B33" i="12"/>
  <c r="D32" i="12"/>
  <c r="C32" i="12"/>
  <c r="L32" i="12" s="1"/>
  <c r="B32" i="12"/>
  <c r="M31" i="12"/>
  <c r="J31" i="12"/>
  <c r="J32" i="12" s="1"/>
  <c r="I31" i="12"/>
  <c r="I32" i="12" s="1"/>
  <c r="I33" i="12" s="1"/>
  <c r="I34" i="12" s="1"/>
  <c r="I35" i="12" s="1"/>
  <c r="I36" i="12" s="1"/>
  <c r="H31" i="12"/>
  <c r="H32" i="12" s="1"/>
  <c r="D31" i="12"/>
  <c r="C31" i="12"/>
  <c r="L31" i="12" s="1"/>
  <c r="B31" i="12"/>
  <c r="B42" i="12" s="1"/>
  <c r="P30" i="12"/>
  <c r="M30" i="12"/>
  <c r="D30" i="12"/>
  <c r="C30" i="12"/>
  <c r="L30" i="12" s="1"/>
  <c r="B30" i="12"/>
  <c r="K30" i="12" s="1"/>
  <c r="D29" i="12"/>
  <c r="M29" i="12" s="1"/>
  <c r="C29" i="12"/>
  <c r="B29" i="12"/>
  <c r="D28" i="12"/>
  <c r="M28" i="12" s="1"/>
  <c r="C28" i="12"/>
  <c r="B28" i="12"/>
  <c r="D27" i="12"/>
  <c r="M27" i="12" s="1"/>
  <c r="C27" i="12"/>
  <c r="L27" i="12" s="1"/>
  <c r="B27" i="12"/>
  <c r="D26" i="12"/>
  <c r="C26" i="12"/>
  <c r="B26" i="12"/>
  <c r="D25" i="12"/>
  <c r="M25" i="12" s="1"/>
  <c r="C25" i="12"/>
  <c r="B25" i="12"/>
  <c r="P24" i="12"/>
  <c r="K24" i="12"/>
  <c r="J24" i="12"/>
  <c r="J25" i="12" s="1"/>
  <c r="J26" i="12" s="1"/>
  <c r="J27" i="12" s="1"/>
  <c r="J28" i="12" s="1"/>
  <c r="J29" i="12" s="1"/>
  <c r="I24" i="12"/>
  <c r="I25" i="12" s="1"/>
  <c r="I26" i="12" s="1"/>
  <c r="I27" i="12" s="1"/>
  <c r="I28" i="12" s="1"/>
  <c r="I29" i="12" s="1"/>
  <c r="H24" i="12"/>
  <c r="H25" i="12" s="1"/>
  <c r="D24" i="12"/>
  <c r="M24" i="12" s="1"/>
  <c r="C24" i="12"/>
  <c r="C42" i="12" s="1"/>
  <c r="B24" i="12"/>
  <c r="P23" i="12"/>
  <c r="K23" i="12"/>
  <c r="D23" i="12"/>
  <c r="M23" i="12" s="1"/>
  <c r="C23" i="12"/>
  <c r="L23" i="12" s="1"/>
  <c r="B23" i="12"/>
  <c r="D22" i="12"/>
  <c r="C22" i="12"/>
  <c r="B22" i="12"/>
  <c r="D21" i="12"/>
  <c r="M21" i="12" s="1"/>
  <c r="C21" i="12"/>
  <c r="B21" i="12"/>
  <c r="D20" i="12"/>
  <c r="M20" i="12" s="1"/>
  <c r="C20" i="12"/>
  <c r="B20" i="12"/>
  <c r="D19" i="12"/>
  <c r="M19" i="12" s="1"/>
  <c r="C19" i="12"/>
  <c r="B19" i="12"/>
  <c r="D18" i="12"/>
  <c r="C18" i="12"/>
  <c r="B18" i="12"/>
  <c r="P17" i="12"/>
  <c r="L17" i="12"/>
  <c r="K17" i="12"/>
  <c r="J17" i="12"/>
  <c r="J18" i="12" s="1"/>
  <c r="J19" i="12" s="1"/>
  <c r="J20" i="12" s="1"/>
  <c r="J21" i="12" s="1"/>
  <c r="J22" i="12" s="1"/>
  <c r="I17" i="12"/>
  <c r="I18" i="12" s="1"/>
  <c r="H17" i="12"/>
  <c r="H18" i="12" s="1"/>
  <c r="D17" i="12"/>
  <c r="M17" i="12" s="1"/>
  <c r="C17" i="12"/>
  <c r="B17" i="12"/>
  <c r="P16" i="12"/>
  <c r="M16" i="12"/>
  <c r="L16" i="12"/>
  <c r="K16" i="12"/>
  <c r="D16" i="12"/>
  <c r="C16" i="12"/>
  <c r="B16" i="12"/>
  <c r="D15" i="12"/>
  <c r="C15" i="12"/>
  <c r="B15" i="12"/>
  <c r="D14" i="12"/>
  <c r="C14" i="12"/>
  <c r="B14" i="12"/>
  <c r="D13" i="12"/>
  <c r="C13" i="12"/>
  <c r="B13" i="12"/>
  <c r="D12" i="12"/>
  <c r="C12" i="12"/>
  <c r="B12" i="12"/>
  <c r="M11" i="12"/>
  <c r="L11" i="12"/>
  <c r="J11" i="12"/>
  <c r="J12" i="12" s="1"/>
  <c r="I11" i="12"/>
  <c r="H11" i="12"/>
  <c r="D11" i="12"/>
  <c r="D42" i="12" s="1"/>
  <c r="C11" i="12"/>
  <c r="B11" i="12"/>
  <c r="K11" i="12" s="1"/>
  <c r="P10" i="12"/>
  <c r="M10" i="12"/>
  <c r="L10" i="12"/>
  <c r="K10" i="12"/>
  <c r="C3" i="12"/>
  <c r="A10" i="12" s="1"/>
  <c r="L17" i="11"/>
  <c r="J15" i="11"/>
  <c r="J17" i="11" s="1"/>
  <c r="J14" i="11"/>
  <c r="J13" i="11"/>
  <c r="L10" i="11"/>
  <c r="L26" i="11" s="1"/>
  <c r="J9" i="11"/>
  <c r="J8" i="11"/>
  <c r="J7" i="11"/>
  <c r="J10" i="11" s="1"/>
  <c r="B3" i="11"/>
  <c r="A26" i="10"/>
  <c r="F24" i="10"/>
  <c r="F7" i="10" s="1"/>
  <c r="D19" i="10"/>
  <c r="F18" i="10"/>
  <c r="F26" i="10" s="1"/>
  <c r="D18" i="10"/>
  <c r="D26" i="10" s="1"/>
  <c r="A18" i="10"/>
  <c r="F16" i="10"/>
  <c r="D16" i="10"/>
  <c r="D24" i="10" s="1"/>
  <c r="A8" i="10"/>
  <c r="A9" i="10" s="1"/>
  <c r="A11" i="10" s="1"/>
  <c r="A12" i="10" s="1"/>
  <c r="A13" i="10" s="1"/>
  <c r="F5" i="10"/>
  <c r="D5" i="10"/>
  <c r="F68" i="6"/>
  <c r="E68" i="6"/>
  <c r="F66" i="6"/>
  <c r="E66" i="6"/>
  <c r="F54" i="6"/>
  <c r="E54" i="6"/>
  <c r="F52" i="6"/>
  <c r="E52" i="6"/>
  <c r="G42" i="6"/>
  <c r="F42" i="6"/>
  <c r="E42" i="6"/>
  <c r="P40" i="6"/>
  <c r="M40" i="6"/>
  <c r="L40" i="6"/>
  <c r="D40" i="6"/>
  <c r="C40" i="6"/>
  <c r="B40" i="6"/>
  <c r="K40" i="6" s="1"/>
  <c r="D39" i="6"/>
  <c r="C39" i="6"/>
  <c r="B39" i="6"/>
  <c r="D38" i="6"/>
  <c r="C38" i="6"/>
  <c r="B38" i="6"/>
  <c r="D37" i="6"/>
  <c r="C37" i="6"/>
  <c r="B37" i="6"/>
  <c r="D36" i="6"/>
  <c r="C36" i="6"/>
  <c r="B36" i="6"/>
  <c r="D35" i="6"/>
  <c r="C35" i="6"/>
  <c r="B35" i="6"/>
  <c r="K35" i="6" s="1"/>
  <c r="M34" i="6"/>
  <c r="J34" i="6"/>
  <c r="J35" i="6" s="1"/>
  <c r="I34" i="6"/>
  <c r="I35" i="6" s="1"/>
  <c r="H34" i="6"/>
  <c r="H35" i="6" s="1"/>
  <c r="D34" i="6"/>
  <c r="C34" i="6"/>
  <c r="B34" i="6"/>
  <c r="K34" i="6" s="1"/>
  <c r="P33" i="6"/>
  <c r="M33" i="6"/>
  <c r="D33" i="6"/>
  <c r="C33" i="6"/>
  <c r="L33" i="6" s="1"/>
  <c r="B33" i="6"/>
  <c r="K33" i="6" s="1"/>
  <c r="D32" i="6"/>
  <c r="C32" i="6"/>
  <c r="B32" i="6"/>
  <c r="D31" i="6"/>
  <c r="C31" i="6"/>
  <c r="B31" i="6"/>
  <c r="D30" i="6"/>
  <c r="C30" i="6"/>
  <c r="B30" i="6"/>
  <c r="D29" i="6"/>
  <c r="C29" i="6"/>
  <c r="L29" i="6" s="1"/>
  <c r="B29" i="6"/>
  <c r="H28" i="6"/>
  <c r="P28" i="6" s="1"/>
  <c r="D28" i="6"/>
  <c r="C28" i="6"/>
  <c r="B28" i="6"/>
  <c r="K28" i="6" s="1"/>
  <c r="L27" i="6"/>
  <c r="K27" i="6"/>
  <c r="J27" i="6"/>
  <c r="J28" i="6" s="1"/>
  <c r="I27" i="6"/>
  <c r="I28" i="6" s="1"/>
  <c r="I29" i="6" s="1"/>
  <c r="I30" i="6" s="1"/>
  <c r="I31" i="6" s="1"/>
  <c r="H27" i="6"/>
  <c r="P27" i="6" s="1"/>
  <c r="D27" i="6"/>
  <c r="C27" i="6"/>
  <c r="B27" i="6"/>
  <c r="P26" i="6"/>
  <c r="D26" i="6"/>
  <c r="M26" i="6" s="1"/>
  <c r="C26" i="6"/>
  <c r="L26" i="6" s="1"/>
  <c r="B26" i="6"/>
  <c r="K26" i="6" s="1"/>
  <c r="D25" i="6"/>
  <c r="C25" i="6"/>
  <c r="B25" i="6"/>
  <c r="D24" i="6"/>
  <c r="C24" i="6"/>
  <c r="B24" i="6"/>
  <c r="D23" i="6"/>
  <c r="C23" i="6"/>
  <c r="B23" i="6"/>
  <c r="D22" i="6"/>
  <c r="C22" i="6"/>
  <c r="B22" i="6"/>
  <c r="P21" i="6"/>
  <c r="K21" i="6"/>
  <c r="I21" i="6"/>
  <c r="I22" i="6" s="1"/>
  <c r="H21" i="6"/>
  <c r="H22" i="6" s="1"/>
  <c r="D21" i="6"/>
  <c r="C21" i="6"/>
  <c r="L21" i="6" s="1"/>
  <c r="B21" i="6"/>
  <c r="P20" i="6"/>
  <c r="M20" i="6"/>
  <c r="L20" i="6"/>
  <c r="K20" i="6"/>
  <c r="J20" i="6"/>
  <c r="J21" i="6" s="1"/>
  <c r="J22" i="6" s="1"/>
  <c r="I20" i="6"/>
  <c r="H20" i="6"/>
  <c r="D20" i="6"/>
  <c r="C20" i="6"/>
  <c r="B20" i="6"/>
  <c r="P19" i="6"/>
  <c r="M19" i="6"/>
  <c r="K19" i="6"/>
  <c r="D19" i="6"/>
  <c r="C19" i="6"/>
  <c r="L19" i="6" s="1"/>
  <c r="B19" i="6"/>
  <c r="D18" i="6"/>
  <c r="C18" i="6"/>
  <c r="B18" i="6"/>
  <c r="D17" i="6"/>
  <c r="C17" i="6"/>
  <c r="B17" i="6"/>
  <c r="D16" i="6"/>
  <c r="C16" i="6"/>
  <c r="B16" i="6"/>
  <c r="D15" i="6"/>
  <c r="C15" i="6"/>
  <c r="B15" i="6"/>
  <c r="J14" i="6"/>
  <c r="H14" i="6"/>
  <c r="H15" i="6" s="1"/>
  <c r="D14" i="6"/>
  <c r="M14" i="6" s="1"/>
  <c r="C14" i="6"/>
  <c r="B14" i="6"/>
  <c r="K14" i="6" s="1"/>
  <c r="L13" i="6"/>
  <c r="J13" i="6"/>
  <c r="M13" i="6" s="1"/>
  <c r="I13" i="6"/>
  <c r="I14" i="6" s="1"/>
  <c r="H13" i="6"/>
  <c r="P13" i="6" s="1"/>
  <c r="D13" i="6"/>
  <c r="C13" i="6"/>
  <c r="B13" i="6"/>
  <c r="P12" i="6"/>
  <c r="L12" i="6"/>
  <c r="D12" i="6"/>
  <c r="M12" i="6" s="1"/>
  <c r="C12" i="6"/>
  <c r="B12" i="6"/>
  <c r="K12" i="6" s="1"/>
  <c r="M11" i="6"/>
  <c r="K11" i="6"/>
  <c r="J11" i="6"/>
  <c r="I11" i="6"/>
  <c r="H11" i="6"/>
  <c r="D11" i="6"/>
  <c r="D42" i="6" s="1"/>
  <c r="C11" i="6"/>
  <c r="C42" i="6" s="1"/>
  <c r="B11" i="6"/>
  <c r="B42" i="6" s="1"/>
  <c r="P10" i="6"/>
  <c r="M10" i="6"/>
  <c r="L10" i="6"/>
  <c r="K10" i="6"/>
  <c r="C3" i="6"/>
  <c r="A10" i="6" s="1"/>
  <c r="J24" i="5"/>
  <c r="L17" i="5"/>
  <c r="J15" i="5"/>
  <c r="J14" i="5"/>
  <c r="J13" i="5"/>
  <c r="J17" i="5" s="1"/>
  <c r="L10" i="5"/>
  <c r="J9" i="5"/>
  <c r="J8" i="5"/>
  <c r="J7" i="5"/>
  <c r="J10" i="5" s="1"/>
  <c r="B3" i="5"/>
  <c r="A26" i="4"/>
  <c r="D19" i="4"/>
  <c r="D18" i="4" s="1"/>
  <c r="D26" i="4" s="1"/>
  <c r="F18" i="4"/>
  <c r="F26" i="4" s="1"/>
  <c r="A18" i="4"/>
  <c r="F16" i="4"/>
  <c r="D16" i="4"/>
  <c r="D24" i="4" s="1"/>
  <c r="A8" i="4"/>
  <c r="A9" i="4" s="1"/>
  <c r="A11" i="4" s="1"/>
  <c r="A12" i="4" s="1"/>
  <c r="A13" i="4" s="1"/>
  <c r="F5" i="4"/>
  <c r="D5" i="4"/>
  <c r="F66" i="3"/>
  <c r="E66" i="3"/>
  <c r="F52" i="3"/>
  <c r="E52" i="3"/>
  <c r="G42" i="3"/>
  <c r="F42" i="3"/>
  <c r="E42" i="3"/>
  <c r="D38" i="3"/>
  <c r="C38" i="3"/>
  <c r="B38" i="3"/>
  <c r="D37" i="3"/>
  <c r="C37" i="3"/>
  <c r="B37" i="3"/>
  <c r="J36" i="3"/>
  <c r="J37" i="3" s="1"/>
  <c r="J38" i="3" s="1"/>
  <c r="M38" i="3" s="1"/>
  <c r="D36" i="3"/>
  <c r="C36" i="3"/>
  <c r="B36" i="3"/>
  <c r="P35" i="3"/>
  <c r="J35" i="3"/>
  <c r="I35" i="3"/>
  <c r="I36" i="3" s="1"/>
  <c r="H35" i="3"/>
  <c r="H36" i="3" s="1"/>
  <c r="D35" i="3"/>
  <c r="M35" i="3" s="1"/>
  <c r="C35" i="3"/>
  <c r="L35" i="3" s="1"/>
  <c r="B35" i="3"/>
  <c r="K35" i="3" s="1"/>
  <c r="P34" i="3"/>
  <c r="L34" i="3"/>
  <c r="K34" i="3"/>
  <c r="D34" i="3"/>
  <c r="M34" i="3" s="1"/>
  <c r="C34" i="3"/>
  <c r="B34" i="3"/>
  <c r="D33" i="3"/>
  <c r="C33" i="3"/>
  <c r="B33" i="3"/>
  <c r="D32" i="3"/>
  <c r="C32" i="3"/>
  <c r="B32" i="3"/>
  <c r="D31" i="3"/>
  <c r="C31" i="3"/>
  <c r="B31" i="3"/>
  <c r="D30" i="3"/>
  <c r="C30" i="3"/>
  <c r="B30" i="3"/>
  <c r="D29" i="3"/>
  <c r="C29" i="3"/>
  <c r="B29" i="3"/>
  <c r="J28" i="3"/>
  <c r="J29" i="3" s="1"/>
  <c r="I28" i="3"/>
  <c r="I29" i="3" s="1"/>
  <c r="H28" i="3"/>
  <c r="P28" i="3" s="1"/>
  <c r="D28" i="3"/>
  <c r="M28" i="3" s="1"/>
  <c r="C28" i="3"/>
  <c r="L28" i="3" s="1"/>
  <c r="B28" i="3"/>
  <c r="P27" i="3"/>
  <c r="M27" i="3"/>
  <c r="L27" i="3"/>
  <c r="K27" i="3"/>
  <c r="D27" i="3"/>
  <c r="C27" i="3"/>
  <c r="B27" i="3"/>
  <c r="D26" i="3"/>
  <c r="C26" i="3"/>
  <c r="B26" i="3"/>
  <c r="D25" i="3"/>
  <c r="C25" i="3"/>
  <c r="B25" i="3"/>
  <c r="D24" i="3"/>
  <c r="C24" i="3"/>
  <c r="B24" i="3"/>
  <c r="D23" i="3"/>
  <c r="C23" i="3"/>
  <c r="B23" i="3"/>
  <c r="D22" i="3"/>
  <c r="C22" i="3"/>
  <c r="B22" i="3"/>
  <c r="J21" i="3"/>
  <c r="J22" i="3" s="1"/>
  <c r="I21" i="3"/>
  <c r="I22" i="3" s="1"/>
  <c r="H21" i="3"/>
  <c r="P21" i="3" s="1"/>
  <c r="D21" i="3"/>
  <c r="M21" i="3" s="1"/>
  <c r="C21" i="3"/>
  <c r="B21" i="3"/>
  <c r="P20" i="3"/>
  <c r="M20" i="3"/>
  <c r="L20" i="3"/>
  <c r="K20" i="3"/>
  <c r="D20" i="3"/>
  <c r="C20" i="3"/>
  <c r="B20" i="3"/>
  <c r="D19" i="3"/>
  <c r="C19" i="3"/>
  <c r="B19" i="3"/>
  <c r="D18" i="3"/>
  <c r="C18" i="3"/>
  <c r="B18" i="3"/>
  <c r="D17" i="3"/>
  <c r="C17" i="3"/>
  <c r="B17" i="3"/>
  <c r="D16" i="3"/>
  <c r="C16" i="3"/>
  <c r="B16" i="3"/>
  <c r="P15" i="3"/>
  <c r="H15" i="3"/>
  <c r="H16" i="3" s="1"/>
  <c r="D15" i="3"/>
  <c r="C15" i="3"/>
  <c r="B15" i="3"/>
  <c r="K15" i="3" s="1"/>
  <c r="K14" i="3"/>
  <c r="J14" i="3"/>
  <c r="J15" i="3" s="1"/>
  <c r="I14" i="3"/>
  <c r="L14" i="3" s="1"/>
  <c r="H14" i="3"/>
  <c r="P14" i="3" s="1"/>
  <c r="D14" i="3"/>
  <c r="C14" i="3"/>
  <c r="B14" i="3"/>
  <c r="P13" i="3"/>
  <c r="M13" i="3"/>
  <c r="L13" i="3"/>
  <c r="D13" i="3"/>
  <c r="C13" i="3"/>
  <c r="B13" i="3"/>
  <c r="K13" i="3" s="1"/>
  <c r="P12" i="3"/>
  <c r="I12" i="3"/>
  <c r="H12" i="3"/>
  <c r="D12" i="3"/>
  <c r="D42" i="3" s="1"/>
  <c r="C12" i="3"/>
  <c r="L12" i="3" s="1"/>
  <c r="B12" i="3"/>
  <c r="K12" i="3" s="1"/>
  <c r="L11" i="3"/>
  <c r="K11" i="3"/>
  <c r="J11" i="3"/>
  <c r="I11" i="3"/>
  <c r="H11" i="3"/>
  <c r="P11" i="3" s="1"/>
  <c r="D11" i="3"/>
  <c r="C11" i="3"/>
  <c r="C42" i="3" s="1"/>
  <c r="B11" i="3"/>
  <c r="B42" i="3" s="1"/>
  <c r="P10" i="3"/>
  <c r="M10" i="3"/>
  <c r="L10" i="3"/>
  <c r="K10" i="3"/>
  <c r="C3" i="3"/>
  <c r="A10" i="3" s="1"/>
  <c r="J24" i="2"/>
  <c r="L17" i="2"/>
  <c r="J15" i="2"/>
  <c r="J14" i="2"/>
  <c r="J13" i="2"/>
  <c r="L10" i="2"/>
  <c r="J10" i="2"/>
  <c r="J9" i="2"/>
  <c r="J8" i="2"/>
  <c r="J7" i="2"/>
  <c r="B3" i="2"/>
  <c r="A33" i="1"/>
  <c r="F31" i="1"/>
  <c r="F14" i="1" s="1"/>
  <c r="D26" i="1"/>
  <c r="D25" i="1" s="1"/>
  <c r="F25" i="1"/>
  <c r="F33" i="1" s="1"/>
  <c r="A25" i="1"/>
  <c r="F23" i="1"/>
  <c r="D23" i="1"/>
  <c r="A15" i="1"/>
  <c r="A16" i="1" s="1"/>
  <c r="A18" i="1" s="1"/>
  <c r="A19" i="1" s="1"/>
  <c r="A20" i="1" s="1"/>
  <c r="F12" i="1"/>
  <c r="D12" i="1"/>
  <c r="L26" i="5" l="1"/>
  <c r="J26" i="5"/>
  <c r="J17" i="2"/>
  <c r="J26" i="2" s="1"/>
  <c r="L26" i="2"/>
  <c r="H19" i="12"/>
  <c r="K18" i="12"/>
  <c r="P18" i="12"/>
  <c r="M18" i="12"/>
  <c r="K33" i="12"/>
  <c r="D8" i="10"/>
  <c r="D7" i="10"/>
  <c r="L36" i="12"/>
  <c r="K39" i="12"/>
  <c r="L25" i="12"/>
  <c r="M32" i="12"/>
  <c r="J33" i="12"/>
  <c r="M22" i="12"/>
  <c r="L28" i="12"/>
  <c r="L34" i="12"/>
  <c r="L18" i="12"/>
  <c r="I19" i="12"/>
  <c r="P32" i="12"/>
  <c r="H33" i="12"/>
  <c r="N10" i="12"/>
  <c r="A11" i="12"/>
  <c r="P25" i="12"/>
  <c r="K25" i="12"/>
  <c r="H26" i="12"/>
  <c r="K32" i="12"/>
  <c r="J26" i="11"/>
  <c r="L26" i="12"/>
  <c r="J13" i="12"/>
  <c r="M12" i="12"/>
  <c r="M26" i="12"/>
  <c r="L29" i="12"/>
  <c r="L35" i="12"/>
  <c r="H39" i="12"/>
  <c r="P39" i="12" s="1"/>
  <c r="F8" i="10"/>
  <c r="F9" i="10" s="1"/>
  <c r="P31" i="12"/>
  <c r="H12" i="12"/>
  <c r="K12" i="12" s="1"/>
  <c r="I12" i="12"/>
  <c r="P11" i="12"/>
  <c r="L24" i="12"/>
  <c r="K31" i="12"/>
  <c r="J23" i="6"/>
  <c r="J24" i="6" s="1"/>
  <c r="M22" i="6"/>
  <c r="P22" i="6"/>
  <c r="K22" i="6"/>
  <c r="H23" i="6"/>
  <c r="L23" i="6"/>
  <c r="I32" i="6"/>
  <c r="L32" i="6" s="1"/>
  <c r="L31" i="6"/>
  <c r="D7" i="4"/>
  <c r="D8" i="4"/>
  <c r="A11" i="6"/>
  <c r="N10" i="6"/>
  <c r="K36" i="6"/>
  <c r="K16" i="6"/>
  <c r="L30" i="6"/>
  <c r="P35" i="6"/>
  <c r="H36" i="6"/>
  <c r="M23" i="6"/>
  <c r="L28" i="6"/>
  <c r="I36" i="6"/>
  <c r="L35" i="6"/>
  <c r="J36" i="6"/>
  <c r="M35" i="6"/>
  <c r="I15" i="6"/>
  <c r="L14" i="6"/>
  <c r="I23" i="6"/>
  <c r="I24" i="6" s="1"/>
  <c r="L22" i="6"/>
  <c r="J29" i="6"/>
  <c r="M28" i="6"/>
  <c r="P15" i="6"/>
  <c r="H16" i="6"/>
  <c r="K15" i="6"/>
  <c r="M21" i="6"/>
  <c r="P11" i="6"/>
  <c r="J15" i="6"/>
  <c r="H29" i="6"/>
  <c r="P34" i="6"/>
  <c r="K13" i="6"/>
  <c r="P14" i="6"/>
  <c r="F24" i="4"/>
  <c r="L11" i="6"/>
  <c r="M27" i="6"/>
  <c r="L34" i="6"/>
  <c r="J23" i="3"/>
  <c r="J24" i="3" s="1"/>
  <c r="M22" i="3"/>
  <c r="M15" i="3"/>
  <c r="J16" i="3"/>
  <c r="K22" i="3"/>
  <c r="L30" i="3"/>
  <c r="N10" i="3"/>
  <c r="A11" i="3"/>
  <c r="K17" i="3"/>
  <c r="I30" i="3"/>
  <c r="I31" i="3" s="1"/>
  <c r="L29" i="3"/>
  <c r="D31" i="1"/>
  <c r="D33" i="1"/>
  <c r="K36" i="3"/>
  <c r="P36" i="3"/>
  <c r="H37" i="3"/>
  <c r="L36" i="3"/>
  <c r="I37" i="3"/>
  <c r="I38" i="3" s="1"/>
  <c r="L38" i="3" s="1"/>
  <c r="L37" i="3"/>
  <c r="J30" i="3"/>
  <c r="J31" i="3" s="1"/>
  <c r="M29" i="3"/>
  <c r="K37" i="3"/>
  <c r="P16" i="3"/>
  <c r="H17" i="3"/>
  <c r="K16" i="3"/>
  <c r="L22" i="3"/>
  <c r="I23" i="3"/>
  <c r="M37" i="3"/>
  <c r="M11" i="3"/>
  <c r="K21" i="3"/>
  <c r="M36" i="3"/>
  <c r="J12" i="3"/>
  <c r="M14" i="3"/>
  <c r="I15" i="3"/>
  <c r="I16" i="3" s="1"/>
  <c r="L21" i="3"/>
  <c r="H22" i="3"/>
  <c r="K28" i="3"/>
  <c r="H29" i="3"/>
  <c r="K29" i="3" s="1"/>
  <c r="F15" i="1"/>
  <c r="F16" i="1" s="1"/>
  <c r="M12" i="3"/>
  <c r="A12" i="12" l="1"/>
  <c r="N11" i="12"/>
  <c r="P12" i="12"/>
  <c r="H13" i="12"/>
  <c r="H34" i="12"/>
  <c r="P33" i="12"/>
  <c r="J34" i="12"/>
  <c r="M33" i="12"/>
  <c r="D9" i="10"/>
  <c r="P19" i="12"/>
  <c r="H20" i="12"/>
  <c r="K19" i="12"/>
  <c r="H27" i="12"/>
  <c r="K26" i="12"/>
  <c r="P26" i="12"/>
  <c r="L12" i="12"/>
  <c r="I13" i="12"/>
  <c r="J14" i="12"/>
  <c r="M13" i="12"/>
  <c r="L19" i="12"/>
  <c r="I20" i="12"/>
  <c r="J37" i="6"/>
  <c r="M36" i="6"/>
  <c r="H24" i="6"/>
  <c r="P23" i="6"/>
  <c r="K23" i="6"/>
  <c r="F8" i="4"/>
  <c r="F7" i="4"/>
  <c r="D9" i="4"/>
  <c r="J30" i="6"/>
  <c r="M29" i="6"/>
  <c r="H37" i="6"/>
  <c r="P36" i="6"/>
  <c r="H17" i="6"/>
  <c r="P16" i="6"/>
  <c r="I37" i="6"/>
  <c r="L36" i="6"/>
  <c r="J25" i="6"/>
  <c r="M25" i="6" s="1"/>
  <c r="M24" i="6"/>
  <c r="P29" i="6"/>
  <c r="H30" i="6"/>
  <c r="K29" i="6"/>
  <c r="J16" i="6"/>
  <c r="M15" i="6"/>
  <c r="N11" i="6"/>
  <c r="A12" i="6"/>
  <c r="I25" i="6"/>
  <c r="L25" i="6" s="1"/>
  <c r="L24" i="6"/>
  <c r="L15" i="6"/>
  <c r="I16" i="6"/>
  <c r="L16" i="3"/>
  <c r="I17" i="3"/>
  <c r="I32" i="3"/>
  <c r="L31" i="3"/>
  <c r="J25" i="3"/>
  <c r="M24" i="3"/>
  <c r="I24" i="3"/>
  <c r="L23" i="3"/>
  <c r="A12" i="3"/>
  <c r="N11" i="3"/>
  <c r="J17" i="3"/>
  <c r="M16" i="3"/>
  <c r="D15" i="1"/>
  <c r="D14" i="1"/>
  <c r="L15" i="3"/>
  <c r="H30" i="3"/>
  <c r="P29" i="3"/>
  <c r="M31" i="3"/>
  <c r="J32" i="3"/>
  <c r="M23" i="3"/>
  <c r="M30" i="3"/>
  <c r="H18" i="3"/>
  <c r="P17" i="3"/>
  <c r="H23" i="3"/>
  <c r="P22" i="3"/>
  <c r="H38" i="3"/>
  <c r="P37" i="3"/>
  <c r="P34" i="12" l="1"/>
  <c r="H35" i="12"/>
  <c r="K34" i="12"/>
  <c r="P13" i="12"/>
  <c r="H14" i="12"/>
  <c r="K13" i="12"/>
  <c r="I14" i="12"/>
  <c r="L13" i="12"/>
  <c r="I21" i="12"/>
  <c r="L20" i="12"/>
  <c r="K27" i="12"/>
  <c r="P27" i="12"/>
  <c r="H28" i="12"/>
  <c r="H21" i="12"/>
  <c r="P20" i="12"/>
  <c r="K20" i="12"/>
  <c r="M14" i="12"/>
  <c r="J15" i="12"/>
  <c r="M15" i="12" s="1"/>
  <c r="N12" i="12"/>
  <c r="A13" i="12"/>
  <c r="J35" i="12"/>
  <c r="M34" i="12"/>
  <c r="F9" i="4"/>
  <c r="P37" i="6"/>
  <c r="H38" i="6"/>
  <c r="K37" i="6"/>
  <c r="H25" i="6"/>
  <c r="K24" i="6"/>
  <c r="P24" i="6"/>
  <c r="H18" i="6"/>
  <c r="P17" i="6"/>
  <c r="K17" i="6"/>
  <c r="P30" i="6"/>
  <c r="H31" i="6"/>
  <c r="K30" i="6"/>
  <c r="I17" i="6"/>
  <c r="L16" i="6"/>
  <c r="A13" i="6"/>
  <c r="N12" i="6"/>
  <c r="J31" i="6"/>
  <c r="M30" i="6"/>
  <c r="J38" i="6"/>
  <c r="M37" i="6"/>
  <c r="I38" i="6"/>
  <c r="L37" i="6"/>
  <c r="J17" i="6"/>
  <c r="M16" i="6"/>
  <c r="P23" i="3"/>
  <c r="K23" i="3"/>
  <c r="H24" i="3"/>
  <c r="N12" i="3"/>
  <c r="A13" i="3"/>
  <c r="H19" i="3"/>
  <c r="K18" i="3"/>
  <c r="P18" i="3"/>
  <c r="L24" i="3"/>
  <c r="I25" i="3"/>
  <c r="D16" i="1"/>
  <c r="J26" i="3"/>
  <c r="M26" i="3" s="1"/>
  <c r="M25" i="3"/>
  <c r="J33" i="3"/>
  <c r="M33" i="3" s="1"/>
  <c r="M32" i="3"/>
  <c r="M17" i="3"/>
  <c r="J18" i="3"/>
  <c r="I33" i="3"/>
  <c r="L33" i="3" s="1"/>
  <c r="L32" i="3"/>
  <c r="P30" i="3"/>
  <c r="H31" i="3"/>
  <c r="K30" i="3"/>
  <c r="K38" i="3"/>
  <c r="P38" i="3"/>
  <c r="I18" i="3"/>
  <c r="L17" i="3"/>
  <c r="P14" i="12" l="1"/>
  <c r="H15" i="12"/>
  <c r="K14" i="12"/>
  <c r="J42" i="12"/>
  <c r="K28" i="12"/>
  <c r="H29" i="12"/>
  <c r="P28" i="12"/>
  <c r="I22" i="12"/>
  <c r="L21" i="12"/>
  <c r="H36" i="12"/>
  <c r="P35" i="12"/>
  <c r="K35" i="12"/>
  <c r="L14" i="12"/>
  <c r="I15" i="12"/>
  <c r="L15" i="12" s="1"/>
  <c r="A14" i="12"/>
  <c r="N13" i="12"/>
  <c r="M35" i="12"/>
  <c r="J36" i="12"/>
  <c r="M36" i="12" s="1"/>
  <c r="M42" i="12" s="1"/>
  <c r="P21" i="12"/>
  <c r="H22" i="12"/>
  <c r="K21" i="12"/>
  <c r="H42" i="12"/>
  <c r="I39" i="6"/>
  <c r="L39" i="6" s="1"/>
  <c r="L38" i="6"/>
  <c r="M31" i="6"/>
  <c r="J32" i="6"/>
  <c r="M32" i="6" s="1"/>
  <c r="H39" i="6"/>
  <c r="P38" i="6"/>
  <c r="K38" i="6"/>
  <c r="K25" i="6"/>
  <c r="P25" i="6"/>
  <c r="P31" i="6"/>
  <c r="H32" i="6"/>
  <c r="K31" i="6"/>
  <c r="P18" i="6"/>
  <c r="K18" i="6"/>
  <c r="I18" i="6"/>
  <c r="L17" i="6"/>
  <c r="J39" i="6"/>
  <c r="M39" i="6" s="1"/>
  <c r="M42" i="6" s="1"/>
  <c r="M38" i="6"/>
  <c r="J18" i="6"/>
  <c r="M18" i="6" s="1"/>
  <c r="M17" i="6"/>
  <c r="N13" i="6"/>
  <c r="A14" i="6"/>
  <c r="L42" i="3"/>
  <c r="P19" i="3"/>
  <c r="K19" i="3"/>
  <c r="H25" i="3"/>
  <c r="P24" i="3"/>
  <c r="K24" i="3"/>
  <c r="N13" i="3"/>
  <c r="A14" i="3"/>
  <c r="L18" i="3"/>
  <c r="I19" i="3"/>
  <c r="L19" i="3" s="1"/>
  <c r="I26" i="3"/>
  <c r="L26" i="3" s="1"/>
  <c r="L25" i="3"/>
  <c r="J19" i="3"/>
  <c r="M18" i="3"/>
  <c r="H32" i="3"/>
  <c r="P31" i="3"/>
  <c r="K31" i="3"/>
  <c r="P29" i="12" l="1"/>
  <c r="K29" i="12"/>
  <c r="G54" i="12"/>
  <c r="I54" i="12" s="1"/>
  <c r="G68" i="12"/>
  <c r="I68" i="12" s="1"/>
  <c r="P22" i="12"/>
  <c r="K22" i="12"/>
  <c r="P36" i="12"/>
  <c r="K36" i="12"/>
  <c r="K42" i="12" s="1"/>
  <c r="P15" i="12"/>
  <c r="K15" i="12"/>
  <c r="A15" i="12"/>
  <c r="N14" i="12"/>
  <c r="L22" i="12"/>
  <c r="L42" i="12" s="1"/>
  <c r="I42" i="12"/>
  <c r="G54" i="6"/>
  <c r="I54" i="6" s="1"/>
  <c r="G68" i="6"/>
  <c r="I68" i="6" s="1"/>
  <c r="L42" i="6"/>
  <c r="P39" i="6"/>
  <c r="K39" i="6"/>
  <c r="K42" i="6" s="1"/>
  <c r="P32" i="6"/>
  <c r="K32" i="6"/>
  <c r="A15" i="6"/>
  <c r="N14" i="6"/>
  <c r="L18" i="6"/>
  <c r="I42" i="6"/>
  <c r="H42" i="6"/>
  <c r="J42" i="6"/>
  <c r="M19" i="3"/>
  <c r="M42" i="3" s="1"/>
  <c r="J42" i="3"/>
  <c r="P25" i="3"/>
  <c r="K25" i="3"/>
  <c r="H26" i="3"/>
  <c r="A15" i="3"/>
  <c r="N14" i="3"/>
  <c r="I42" i="3"/>
  <c r="P32" i="3"/>
  <c r="H33" i="3"/>
  <c r="K32" i="3"/>
  <c r="G67" i="3"/>
  <c r="I67" i="3" s="1"/>
  <c r="G53" i="3"/>
  <c r="I53" i="3" s="1"/>
  <c r="G66" i="12" l="1"/>
  <c r="I66" i="12" s="1"/>
  <c r="G52" i="12"/>
  <c r="I52" i="12" s="1"/>
  <c r="A16" i="12"/>
  <c r="N15" i="12"/>
  <c r="G53" i="12"/>
  <c r="I53" i="12" s="1"/>
  <c r="G67" i="12"/>
  <c r="I67" i="12" s="1"/>
  <c r="G52" i="6"/>
  <c r="I52" i="6" s="1"/>
  <c r="G66" i="6"/>
  <c r="I66" i="6" s="1"/>
  <c r="A16" i="6"/>
  <c r="N15" i="6"/>
  <c r="G53" i="6"/>
  <c r="I53" i="6" s="1"/>
  <c r="G67" i="6"/>
  <c r="I67" i="6" s="1"/>
  <c r="A16" i="3"/>
  <c r="N15" i="3"/>
  <c r="P26" i="3"/>
  <c r="K26" i="3"/>
  <c r="H42" i="3"/>
  <c r="P33" i="3"/>
  <c r="K33" i="3"/>
  <c r="K42" i="3" s="1"/>
  <c r="G68" i="3"/>
  <c r="I68" i="3" s="1"/>
  <c r="G54" i="3"/>
  <c r="I54" i="3" s="1"/>
  <c r="A17" i="12" l="1"/>
  <c r="N16" i="12"/>
  <c r="I56" i="12"/>
  <c r="I70" i="12"/>
  <c r="A17" i="6"/>
  <c r="N16" i="6"/>
  <c r="I70" i="6"/>
  <c r="I56" i="6"/>
  <c r="G66" i="3"/>
  <c r="I66" i="3" s="1"/>
  <c r="I70" i="3" s="1"/>
  <c r="G52" i="3"/>
  <c r="I52" i="3" s="1"/>
  <c r="I56" i="3" s="1"/>
  <c r="A17" i="3"/>
  <c r="N16" i="3"/>
  <c r="N17" i="12" l="1"/>
  <c r="A18" i="12"/>
  <c r="N17" i="6"/>
  <c r="A18" i="6"/>
  <c r="N17" i="3"/>
  <c r="A18" i="3"/>
  <c r="A19" i="12" l="1"/>
  <c r="N18" i="12"/>
  <c r="A19" i="6"/>
  <c r="N18" i="6"/>
  <c r="A19" i="3"/>
  <c r="N18" i="3"/>
  <c r="N19" i="12" l="1"/>
  <c r="A20" i="12"/>
  <c r="A20" i="6"/>
  <c r="N19" i="6"/>
  <c r="N19" i="3"/>
  <c r="A20" i="3"/>
  <c r="A21" i="12" l="1"/>
  <c r="N20" i="12"/>
  <c r="A21" i="6"/>
  <c r="N20" i="6"/>
  <c r="A21" i="3"/>
  <c r="N20" i="3"/>
  <c r="N21" i="12" l="1"/>
  <c r="A22" i="12"/>
  <c r="A22" i="6"/>
  <c r="N21" i="6"/>
  <c r="A22" i="3"/>
  <c r="N21" i="3"/>
  <c r="A23" i="12" l="1"/>
  <c r="N22" i="12"/>
  <c r="A23" i="6"/>
  <c r="N22" i="6"/>
  <c r="N22" i="3"/>
  <c r="A23" i="3"/>
  <c r="A24" i="12" l="1"/>
  <c r="N23" i="12"/>
  <c r="A24" i="6"/>
  <c r="N23" i="6"/>
  <c r="A24" i="3"/>
  <c r="N23" i="3"/>
  <c r="A25" i="12" l="1"/>
  <c r="N24" i="12"/>
  <c r="A25" i="6"/>
  <c r="N24" i="6"/>
  <c r="N24" i="3"/>
  <c r="A25" i="3"/>
  <c r="A26" i="12" l="1"/>
  <c r="N25" i="12"/>
  <c r="A26" i="6"/>
  <c r="N25" i="6"/>
  <c r="A26" i="3"/>
  <c r="N25" i="3"/>
  <c r="N26" i="12" l="1"/>
  <c r="A27" i="12"/>
  <c r="A27" i="6"/>
  <c r="N26" i="6"/>
  <c r="N26" i="3"/>
  <c r="A27" i="3"/>
  <c r="A28" i="12" l="1"/>
  <c r="N27" i="12"/>
  <c r="N27" i="6"/>
  <c r="A28" i="6"/>
  <c r="A28" i="3"/>
  <c r="N27" i="3"/>
  <c r="N28" i="12" l="1"/>
  <c r="A29" i="12"/>
  <c r="N28" i="6"/>
  <c r="A29" i="6"/>
  <c r="N28" i="3"/>
  <c r="A29" i="3"/>
  <c r="A30" i="12" l="1"/>
  <c r="N29" i="12"/>
  <c r="N29" i="6"/>
  <c r="A30" i="6"/>
  <c r="A30" i="3"/>
  <c r="N29" i="3"/>
  <c r="A31" i="12" l="1"/>
  <c r="N30" i="12"/>
  <c r="A31" i="6"/>
  <c r="N30" i="6"/>
  <c r="N30" i="3"/>
  <c r="A31" i="3"/>
  <c r="N31" i="12" l="1"/>
  <c r="A32" i="12"/>
  <c r="N31" i="6"/>
  <c r="A32" i="6"/>
  <c r="A32" i="3"/>
  <c r="N31" i="3"/>
  <c r="A33" i="12" l="1"/>
  <c r="N32" i="12"/>
  <c r="A33" i="6"/>
  <c r="N32" i="6"/>
  <c r="N32" i="3"/>
  <c r="A33" i="3"/>
  <c r="N33" i="12" l="1"/>
  <c r="A34" i="12"/>
  <c r="A34" i="6"/>
  <c r="N33" i="6"/>
  <c r="A34" i="3"/>
  <c r="N33" i="3"/>
  <c r="A35" i="12" l="1"/>
  <c r="N34" i="12"/>
  <c r="N34" i="6"/>
  <c r="A35" i="6"/>
  <c r="A35" i="3"/>
  <c r="N34" i="3"/>
  <c r="N35" i="12" l="1"/>
  <c r="A36" i="12"/>
  <c r="A36" i="6"/>
  <c r="N35" i="6"/>
  <c r="N35" i="3"/>
  <c r="A36" i="3"/>
  <c r="A37" i="12" l="1"/>
  <c r="N36" i="12"/>
  <c r="N36" i="6"/>
  <c r="A37" i="6"/>
  <c r="A37" i="3"/>
  <c r="N36" i="3"/>
  <c r="N37" i="12" l="1"/>
  <c r="A38" i="12"/>
  <c r="A38" i="6"/>
  <c r="N37" i="6"/>
  <c r="N37" i="3"/>
  <c r="A38" i="3"/>
  <c r="N38" i="3" s="1"/>
  <c r="A39" i="12" l="1"/>
  <c r="N39" i="12" s="1"/>
  <c r="N38" i="12"/>
  <c r="N38" i="6"/>
  <c r="A39" i="6"/>
  <c r="A40" i="6" l="1"/>
  <c r="N40" i="6" s="1"/>
  <c r="N39" i="6"/>
</calcChain>
</file>

<file path=xl/comments1.xml><?xml version="1.0" encoding="utf-8"?>
<comments xmlns="http://schemas.openxmlformats.org/spreadsheetml/2006/main">
  <authors>
    <author>Nisource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>Nisource:</t>
        </r>
        <r>
          <rPr>
            <sz val="9"/>
            <color indexed="81"/>
            <rFont val="Tahoma"/>
            <family val="2"/>
          </rPr>
          <t xml:space="preserve">
Annual MDQ of 20,506 of Zone L/1 - Zn 3 plus PS/GHG Surcharge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Nisource:</t>
        </r>
        <r>
          <rPr>
            <sz val="9"/>
            <color indexed="81"/>
            <rFont val="Tahoma"/>
            <family val="2"/>
          </rPr>
          <t xml:space="preserve">
Summer MDQ: 95,440
(Apr-Sep)
Winter MDQ: 190,880
(Oct-Mar)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Nisource:</t>
        </r>
        <r>
          <rPr>
            <sz val="9"/>
            <color indexed="81"/>
            <rFont val="Tahoma"/>
            <family val="2"/>
          </rPr>
          <t xml:space="preserve">
Summer MDQ: 15,000
(Apr-Sep)
Winter MDQ: 30,000
(Oct-Mar)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Nisource:</t>
        </r>
        <r>
          <rPr>
            <sz val="9"/>
            <color indexed="81"/>
            <rFont val="Tahoma"/>
            <family val="2"/>
          </rPr>
          <t xml:space="preserve">
Annual MDQ of 20,506 Disc Zone L1 - Zn 3 plus PS/GHG Surcharge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Nisource:</t>
        </r>
        <r>
          <rPr>
            <sz val="9"/>
            <color indexed="81"/>
            <rFont val="Tahoma"/>
            <family val="2"/>
          </rPr>
          <t xml:space="preserve">
Summer MDQ: 95,440
(Apr-Sep)
Winter MDQ: 190,880
(Oct-Mar)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Nisource:</t>
        </r>
        <r>
          <rPr>
            <sz val="9"/>
            <color indexed="81"/>
            <rFont val="Tahoma"/>
            <family val="2"/>
          </rPr>
          <t xml:space="preserve">
Summer MDQ: 15,000
(Apr-Sep)
Winter MDQ: 30,000
(Oct-Mar)
</t>
        </r>
      </text>
    </comment>
  </commentList>
</comments>
</file>

<file path=xl/comments2.xml><?xml version="1.0" encoding="utf-8"?>
<comments xmlns="http://schemas.openxmlformats.org/spreadsheetml/2006/main">
  <authors>
    <author>Nisource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>Nisource:</t>
        </r>
        <r>
          <rPr>
            <sz val="9"/>
            <color indexed="81"/>
            <rFont val="Tahoma"/>
            <family val="2"/>
          </rPr>
          <t xml:space="preserve">
Annual MDQ of 16,000 of Zone L/1 - Zn 3 plus PS/GHG Surcharge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Nisource:</t>
        </r>
        <r>
          <rPr>
            <sz val="9"/>
            <color indexed="81"/>
            <rFont val="Tahoma"/>
            <family val="2"/>
          </rPr>
          <t xml:space="preserve">
Summer MDQ: 104,940
(Apr-Sep)
Winter MDQ: 209,880
(Oct-Mar)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Nisource:</t>
        </r>
        <r>
          <rPr>
            <sz val="9"/>
            <color indexed="81"/>
            <rFont val="Tahoma"/>
            <family val="2"/>
          </rPr>
          <t xml:space="preserve">
Annual MDQ of 16,000 of Zone L/1 - Zn 3 plus PS/GHG Surcharge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Nisource:</t>
        </r>
        <r>
          <rPr>
            <sz val="9"/>
            <color indexed="81"/>
            <rFont val="Tahoma"/>
            <family val="2"/>
          </rPr>
          <t xml:space="preserve">
Summer MDQ: 104,940
(Apr-Sep)
Winter MDQ: 209,880
(Oct-Mar)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Nisource:</t>
        </r>
        <r>
          <rPr>
            <sz val="9"/>
            <color indexed="81"/>
            <rFont val="Tahoma"/>
            <family val="2"/>
          </rPr>
          <t xml:space="preserve">
Summer MDQ: 15,000
(Apr-Sep)
Winter MDQ: 30,000
(Oct-Mar)
</t>
        </r>
      </text>
    </comment>
  </commentList>
</comments>
</file>

<file path=xl/comments3.xml><?xml version="1.0" encoding="utf-8"?>
<comments xmlns="http://schemas.openxmlformats.org/spreadsheetml/2006/main">
  <authors>
    <author>Nisource</author>
  </authors>
  <commentList>
    <comment ref="G8" authorId="0" shapeId="0">
      <text>
        <r>
          <rPr>
            <b/>
            <sz val="9"/>
            <color indexed="81"/>
            <rFont val="Tahoma"/>
            <family val="2"/>
          </rPr>
          <t>Nisource:</t>
        </r>
        <r>
          <rPr>
            <sz val="9"/>
            <color indexed="81"/>
            <rFont val="Tahoma"/>
            <family val="2"/>
          </rPr>
          <t xml:space="preserve">
Per CKY PSC order # 20200724 - Case No. 2017-00453 eff 7/24/20 </t>
        </r>
      </text>
    </comment>
  </commentList>
</comments>
</file>

<file path=xl/sharedStrings.xml><?xml version="1.0" encoding="utf-8"?>
<sst xmlns="http://schemas.openxmlformats.org/spreadsheetml/2006/main" count="1090" uniqueCount="118">
  <si>
    <t>Columbia Gas of Kentucky, Inc.</t>
  </si>
  <si>
    <t>Monthly Performance Based Rate Calculation</t>
  </si>
  <si>
    <t xml:space="preserve">Flow Period: </t>
  </si>
  <si>
    <t>Ln.</t>
  </si>
  <si>
    <t>PBR Component Description</t>
  </si>
  <si>
    <t>ESTIMATE</t>
  </si>
  <si>
    <t>ACTUAL</t>
  </si>
  <si>
    <t>CPS = (TPBR) x ASP</t>
  </si>
  <si>
    <t>30% of first 2% of AGC</t>
  </si>
  <si>
    <t>50% of remainder</t>
  </si>
  <si>
    <t>Total Company Performance Share</t>
  </si>
  <si>
    <t>TCI  (includes Marketed CapR)</t>
  </si>
  <si>
    <t>GCI</t>
  </si>
  <si>
    <t>OSSI</t>
  </si>
  <si>
    <t>Sales</t>
  </si>
  <si>
    <t>Exch</t>
  </si>
  <si>
    <t>(1)</t>
  </si>
  <si>
    <t>TPBR = (TCI+GCI+OSSI)</t>
  </si>
  <si>
    <t>AGC (**Total Gas Cost)</t>
  </si>
  <si>
    <t>Sys Supply Purch</t>
  </si>
  <si>
    <t xml:space="preserve">Core </t>
  </si>
  <si>
    <t>(est)</t>
  </si>
  <si>
    <t>(act)</t>
  </si>
  <si>
    <t>Misc Adjustment</t>
  </si>
  <si>
    <t>Transportation</t>
  </si>
  <si>
    <t>2% of AGC</t>
  </si>
  <si>
    <t>PAC = (TPBR) / AGC</t>
  </si>
  <si>
    <t>Acronyms:</t>
  </si>
  <si>
    <t>CPS = Company Performance Share</t>
  </si>
  <si>
    <t xml:space="preserve">    **Total Gas Cost = System Supply Purchase + Transportation Costs</t>
  </si>
  <si>
    <t>TPBR = Total Performance Based Results</t>
  </si>
  <si>
    <t>ASP = Applicable Sharing Percentage</t>
  </si>
  <si>
    <t>PAC = Percent of Actual Gas Costs</t>
  </si>
  <si>
    <t>AGC = Actual Gas Costs</t>
  </si>
  <si>
    <t>TCI = Transportation Cost Incentive</t>
  </si>
  <si>
    <t>OSSI = Off-System Sales Incentive</t>
  </si>
  <si>
    <t>GCI = Gas Cost Incentive</t>
  </si>
  <si>
    <t xml:space="preserve">(1) Includes exchange revenue on exchanges that begin on or after 4/1/2015.  </t>
  </si>
  <si>
    <t>CKY TCI CALCULATION (Discounted/Negotiated Contracts &amp; Marketed Capacity Release Revenue)</t>
  </si>
  <si>
    <t>Flow Month:</t>
  </si>
  <si>
    <t>Contract</t>
  </si>
  <si>
    <t>Rate</t>
  </si>
  <si>
    <t>Pipeline</t>
  </si>
  <si>
    <t>Number</t>
  </si>
  <si>
    <t>Sched</t>
  </si>
  <si>
    <t>P/L MDQ</t>
  </si>
  <si>
    <t>Max Rate</t>
  </si>
  <si>
    <t>Calculation</t>
  </si>
  <si>
    <t>Estimate</t>
  </si>
  <si>
    <t>Actual</t>
  </si>
  <si>
    <t>BENCHMARK</t>
  </si>
  <si>
    <t>(TBTC)</t>
  </si>
  <si>
    <t>Tenn</t>
  </si>
  <si>
    <t>FTA</t>
  </si>
  <si>
    <t>Demand Vol @ Max Rate</t>
  </si>
  <si>
    <t>TCO</t>
  </si>
  <si>
    <t>SST</t>
  </si>
  <si>
    <t>Disc Rate</t>
  </si>
  <si>
    <t>CKY COST</t>
  </si>
  <si>
    <t>(TATC)</t>
  </si>
  <si>
    <t>Demand Vol @ Disc Rate</t>
  </si>
  <si>
    <t>Marketed Cap Release</t>
  </si>
  <si>
    <t>CGT</t>
  </si>
  <si>
    <t>FTS-1</t>
  </si>
  <si>
    <t>CKT</t>
  </si>
  <si>
    <t>FTS</t>
  </si>
  <si>
    <t>Total TCI</t>
  </si>
  <si>
    <t>Total Benchmark Transportation Cost (Disc Contr MDQ Quantity x Max Tariff Rate)</t>
  </si>
  <si>
    <t>TBTC -</t>
  </si>
  <si>
    <t>Total Actual Transportation Cost (from Transportation Closing Report)</t>
  </si>
  <si>
    <t>TATC -</t>
  </si>
  <si>
    <t>Transportation Cost Incentive</t>
  </si>
  <si>
    <t xml:space="preserve">TCI - </t>
  </si>
  <si>
    <t>CKY GCI CALCULATION</t>
  </si>
  <si>
    <t>Flow Period:</t>
  </si>
  <si>
    <t>Weekly Spot Price</t>
  </si>
  <si>
    <t>Weighted Avg Calculated</t>
  </si>
  <si>
    <t>GD - NGW</t>
  </si>
  <si>
    <t>Flow</t>
  </si>
  <si>
    <t>Inside FERC</t>
  </si>
  <si>
    <t>Gas Daily</t>
  </si>
  <si>
    <t>Natural Gas Week (NGW)</t>
  </si>
  <si>
    <t>Benchmark Rate by P/L</t>
  </si>
  <si>
    <t>P10 Comp</t>
  </si>
  <si>
    <t>Date</t>
  </si>
  <si>
    <t>TCO P10</t>
  </si>
  <si>
    <t>CGT Main</t>
  </si>
  <si>
    <t>TGP 500</t>
  </si>
  <si>
    <t>Gain/(Loss)</t>
  </si>
  <si>
    <t>(Rayne)</t>
  </si>
  <si>
    <t>Avg Rate</t>
  </si>
  <si>
    <t>MONTHLY PURCHASE ACTIVITY (Non-Citygate System Supply) - ESTIMATE</t>
  </si>
  <si>
    <t>Purchase</t>
  </si>
  <si>
    <t>Benchmark</t>
  </si>
  <si>
    <t>Rec Point</t>
  </si>
  <si>
    <t>Volume</t>
  </si>
  <si>
    <t>Cost</t>
  </si>
  <si>
    <t>GCI Savings (Cost)</t>
  </si>
  <si>
    <t>P10</t>
  </si>
  <si>
    <t>M/L</t>
  </si>
  <si>
    <t>TENN</t>
  </si>
  <si>
    <t>MONTHLY PURCHASE ACTIVITY (Non-Citygate System Supply) - ACTUAL</t>
  </si>
  <si>
    <t>Diversified</t>
  </si>
  <si>
    <t>Benchmark Cost</t>
  </si>
  <si>
    <t>CKY Negotiated Cost</t>
  </si>
  <si>
    <t>TCI  Negotiated Contract Revenue</t>
  </si>
  <si>
    <t>TGP</t>
  </si>
  <si>
    <t>TCI  Marketed Capacity Release Revenue</t>
  </si>
  <si>
    <t xml:space="preserve">BENCHMARK CALCULATION PER 7/24/20 CKY PSC ORDER - CASE NO. 2017-00453 </t>
  </si>
  <si>
    <t>Per PSC</t>
  </si>
  <si>
    <t>Gross up</t>
  </si>
  <si>
    <t>TCO SST Rate</t>
  </si>
  <si>
    <t>Order</t>
  </si>
  <si>
    <t>Factor %</t>
  </si>
  <si>
    <t>Benchmark Rate</t>
  </si>
  <si>
    <t>Benchmark Calc:</t>
  </si>
  <si>
    <t xml:space="preserve">PSC Order Effective 7/24/20 with an expiration date of 3/31/21  </t>
  </si>
  <si>
    <t>Total Benchmark Transportation Cost (Disc Contr MDQ Quantity x Calculated Benchmark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</si>
</sst>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7" formatCode="&quot;$&quot;#,##0.00_);\(&quot;$&quot;#,##0.00\)"/>
    <numFmt numFmtId="43" formatCode="_(* #,##0.00_);_(* \(#,##0.00\);_(* &quot;-&quot;??_);_(@_)"/>
    <numFmt numFmtId="164" formatCode="[$-409]mmm\-yy;@"/>
    <numFmt numFmtId="165" formatCode="[$-409]mmmm\-yy;@"/>
    <numFmt numFmtId="166" formatCode="&quot;$&quot;#,##0"/>
    <numFmt numFmtId="167" formatCode="0.000%"/>
    <numFmt numFmtId="168" formatCode="&quot;$&quot;#,##0.0000_);\(&quot;$&quot;#,##0.0000\)"/>
    <numFmt numFmtId="169" formatCode="m/d/yy;@"/>
    <numFmt numFmtId="170" formatCode="&quot;$&quot;#,##0.0000"/>
    <numFmt numFmtId="171" formatCode="&quot;$&quot;#,##0.0000_);[Red]\(&quot;$&quot;#,##0.0000\)"/>
    <numFmt numFmtId="172" formatCode="&quot;$&quot;#,##0.00"/>
    <numFmt numFmtId="173" formatCode="_(* #,##0_);_(* \(#,##0\);_(* &quot;-&quot;??_);_(@_)"/>
    <numFmt numFmtId="174" formatCode="&quot;$&quot;#,##0.000"/>
    <numFmt numFmtId="175" formatCode="&quot;$&quot;#,##0.000_);\(&quot;$&quot;#,##0.000\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b/>
      <sz val="10"/>
      <color rgb="FF0066FF"/>
      <name val="Arial"/>
      <family val="2"/>
    </font>
    <font>
      <sz val="10"/>
      <color rgb="FF0066FF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</cellStyleXfs>
  <cellXfs count="22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/>
    <xf numFmtId="0" fontId="9" fillId="0" borderId="0" xfId="0" applyFont="1" applyAlignment="1">
      <alignment horizontal="center"/>
    </xf>
    <xf numFmtId="0" fontId="9" fillId="0" borderId="0" xfId="0" applyFont="1" applyBorder="1"/>
    <xf numFmtId="0" fontId="8" fillId="0" borderId="0" xfId="0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center"/>
    </xf>
    <xf numFmtId="7" fontId="11" fillId="0" borderId="0" xfId="1" applyNumberFormat="1" applyFont="1" applyBorder="1"/>
    <xf numFmtId="166" fontId="11" fillId="0" borderId="0" xfId="1" applyNumberFormat="1" applyFont="1" applyBorder="1"/>
    <xf numFmtId="9" fontId="5" fillId="0" borderId="0" xfId="0" applyNumberFormat="1" applyFont="1" applyBorder="1" applyAlignment="1">
      <alignment horizontal="left"/>
    </xf>
    <xf numFmtId="7" fontId="12" fillId="0" borderId="0" xfId="1" applyNumberFormat="1" applyFont="1" applyBorder="1"/>
    <xf numFmtId="166" fontId="12" fillId="0" borderId="0" xfId="1" applyNumberFormat="1" applyFont="1" applyBorder="1"/>
    <xf numFmtId="0" fontId="8" fillId="0" borderId="0" xfId="0" applyFont="1" applyBorder="1"/>
    <xf numFmtId="7" fontId="13" fillId="0" borderId="0" xfId="1" applyNumberFormat="1" applyFont="1" applyBorder="1"/>
    <xf numFmtId="166" fontId="13" fillId="0" borderId="0" xfId="1" applyNumberFormat="1" applyFont="1" applyBorder="1"/>
    <xf numFmtId="9" fontId="5" fillId="0" borderId="0" xfId="0" applyNumberFormat="1" applyFont="1" applyBorder="1"/>
    <xf numFmtId="7" fontId="5" fillId="0" borderId="0" xfId="0" applyNumberFormat="1" applyFont="1"/>
    <xf numFmtId="7" fontId="14" fillId="0" borderId="0" xfId="1" applyNumberFormat="1" applyFont="1" applyBorder="1"/>
    <xf numFmtId="166" fontId="14" fillId="0" borderId="0" xfId="1" applyNumberFormat="1" applyFont="1" applyBorder="1"/>
    <xf numFmtId="7" fontId="15" fillId="0" borderId="0" xfId="1" applyNumberFormat="1" applyFont="1" applyBorder="1"/>
    <xf numFmtId="166" fontId="13" fillId="0" borderId="0" xfId="1" quotePrefix="1" applyNumberFormat="1" applyFont="1" applyBorder="1" applyAlignment="1">
      <alignment horizontal="center"/>
    </xf>
    <xf numFmtId="166" fontId="15" fillId="0" borderId="0" xfId="1" applyNumberFormat="1" applyFont="1" applyBorder="1"/>
    <xf numFmtId="7" fontId="15" fillId="0" borderId="0" xfId="1" applyNumberFormat="1" applyFont="1" applyFill="1" applyBorder="1"/>
    <xf numFmtId="166" fontId="14" fillId="0" borderId="0" xfId="1" applyNumberFormat="1" applyFont="1" applyFill="1" applyBorder="1"/>
    <xf numFmtId="166" fontId="15" fillId="0" borderId="0" xfId="1" applyNumberFormat="1" applyFont="1" applyFill="1" applyBorder="1"/>
    <xf numFmtId="0" fontId="5" fillId="0" borderId="0" xfId="0" applyFont="1" applyBorder="1" applyAlignment="1">
      <alignment horizontal="right"/>
    </xf>
    <xf numFmtId="10" fontId="5" fillId="0" borderId="0" xfId="0" applyNumberFormat="1" applyFont="1" applyBorder="1"/>
    <xf numFmtId="166" fontId="11" fillId="0" borderId="0" xfId="1" quotePrefix="1" applyNumberFormat="1" applyFont="1" applyFill="1" applyBorder="1" applyAlignment="1">
      <alignment horizontal="center"/>
    </xf>
    <xf numFmtId="0" fontId="5" fillId="0" borderId="0" xfId="0" applyFont="1" applyFill="1"/>
    <xf numFmtId="167" fontId="5" fillId="0" borderId="0" xfId="0" applyNumberFormat="1" applyFont="1" applyBorder="1"/>
    <xf numFmtId="7" fontId="11" fillId="0" borderId="0" xfId="1" applyNumberFormat="1" applyFont="1" applyFill="1" applyBorder="1"/>
    <xf numFmtId="7" fontId="5" fillId="0" borderId="0" xfId="0" applyNumberFormat="1" applyFont="1" applyBorder="1"/>
    <xf numFmtId="7" fontId="5" fillId="0" borderId="0" xfId="0" applyNumberFormat="1" applyFont="1" applyFill="1"/>
    <xf numFmtId="166" fontId="5" fillId="0" borderId="0" xfId="0" applyNumberFormat="1" applyFont="1" applyBorder="1"/>
    <xf numFmtId="10" fontId="5" fillId="0" borderId="0" xfId="2" applyNumberFormat="1" applyFont="1" applyBorder="1"/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/>
    <xf numFmtId="0" fontId="5" fillId="0" borderId="0" xfId="0" quotePrefix="1" applyFont="1"/>
    <xf numFmtId="0" fontId="8" fillId="0" borderId="0" xfId="0" applyFont="1"/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7" fontId="0" fillId="0" borderId="0" xfId="0" applyNumberFormat="1"/>
    <xf numFmtId="164" fontId="4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7" fontId="18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7" fontId="19" fillId="0" borderId="0" xfId="0" quotePrefix="1" applyNumberFormat="1" applyFont="1"/>
    <xf numFmtId="0" fontId="0" fillId="0" borderId="0" xfId="0" quotePrefix="1"/>
    <xf numFmtId="7" fontId="20" fillId="0" borderId="0" xfId="0" applyNumberFormat="1" applyFont="1"/>
    <xf numFmtId="7" fontId="2" fillId="0" borderId="0" xfId="0" applyNumberFormat="1" applyFont="1"/>
    <xf numFmtId="0" fontId="2" fillId="0" borderId="0" xfId="0" applyFont="1" applyAlignment="1">
      <alignment horizontal="center"/>
    </xf>
    <xf numFmtId="168" fontId="20" fillId="0" borderId="0" xfId="0" applyNumberFormat="1" applyFont="1" applyAlignment="1">
      <alignment horizontal="center"/>
    </xf>
    <xf numFmtId="7" fontId="21" fillId="0" borderId="0" xfId="0" applyNumberFormat="1" applyFont="1"/>
    <xf numFmtId="7" fontId="0" fillId="0" borderId="0" xfId="0" applyNumberFormat="1" applyFont="1"/>
    <xf numFmtId="0" fontId="0" fillId="0" borderId="0" xfId="0" applyFont="1"/>
    <xf numFmtId="37" fontId="19" fillId="0" borderId="0" xfId="0" applyNumberFormat="1" applyFont="1" applyAlignment="1">
      <alignment horizontal="center"/>
    </xf>
    <xf numFmtId="168" fontId="19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7" fontId="3" fillId="2" borderId="1" xfId="0" applyNumberFormat="1" applyFont="1" applyFill="1" applyBorder="1"/>
    <xf numFmtId="7" fontId="0" fillId="0" borderId="0" xfId="0" applyNumberFormat="1" applyFill="1"/>
    <xf numFmtId="0" fontId="19" fillId="0" borderId="0" xfId="0" quotePrefix="1" applyFont="1"/>
    <xf numFmtId="0" fontId="19" fillId="0" borderId="0" xfId="0" applyFont="1"/>
    <xf numFmtId="0" fontId="0" fillId="0" borderId="0" xfId="0" applyAlignment="1">
      <alignment horizontal="left"/>
    </xf>
    <xf numFmtId="168" fontId="0" fillId="0" borderId="0" xfId="0" applyNumberFormat="1" applyAlignment="1">
      <alignment horizontal="left"/>
    </xf>
    <xf numFmtId="169" fontId="23" fillId="0" borderId="0" xfId="3" applyNumberFormat="1" applyFont="1" applyAlignment="1">
      <alignment horizontal="left"/>
    </xf>
    <xf numFmtId="0" fontId="24" fillId="0" borderId="0" xfId="3" applyFont="1" applyAlignment="1">
      <alignment horizontal="center"/>
    </xf>
    <xf numFmtId="0" fontId="22" fillId="0" borderId="0" xfId="3" applyAlignment="1">
      <alignment horizontal="center"/>
    </xf>
    <xf numFmtId="0" fontId="22" fillId="0" borderId="0" xfId="3"/>
    <xf numFmtId="164" fontId="25" fillId="0" borderId="0" xfId="3" applyNumberFormat="1" applyFont="1" applyAlignment="1">
      <alignment horizontal="center"/>
    </xf>
    <xf numFmtId="164" fontId="23" fillId="0" borderId="0" xfId="3" applyNumberFormat="1" applyFont="1" applyAlignment="1">
      <alignment horizontal="center"/>
    </xf>
    <xf numFmtId="0" fontId="22" fillId="0" borderId="0" xfId="3" applyFont="1" applyFill="1" applyBorder="1" applyAlignment="1">
      <alignment horizontal="center"/>
    </xf>
    <xf numFmtId="0" fontId="22" fillId="0" borderId="0" xfId="3" applyFill="1" applyBorder="1" applyAlignment="1">
      <alignment horizontal="center"/>
    </xf>
    <xf numFmtId="169" fontId="22" fillId="0" borderId="0" xfId="3" applyNumberFormat="1" applyAlignment="1">
      <alignment horizontal="center"/>
    </xf>
    <xf numFmtId="169" fontId="26" fillId="0" borderId="7" xfId="3" applyNumberFormat="1" applyFont="1" applyBorder="1" applyAlignment="1">
      <alignment horizontal="center"/>
    </xf>
    <xf numFmtId="169" fontId="26" fillId="0" borderId="12" xfId="3" applyNumberFormat="1" applyFont="1" applyBorder="1" applyAlignment="1">
      <alignment horizontal="center"/>
    </xf>
    <xf numFmtId="0" fontId="26" fillId="3" borderId="2" xfId="3" applyFont="1" applyFill="1" applyBorder="1" applyAlignment="1">
      <alignment horizontal="center"/>
    </xf>
    <xf numFmtId="0" fontId="26" fillId="3" borderId="3" xfId="3" applyFont="1" applyFill="1" applyBorder="1" applyAlignment="1">
      <alignment horizontal="center"/>
    </xf>
    <xf numFmtId="0" fontId="26" fillId="3" borderId="8" xfId="3" applyFont="1" applyFill="1" applyBorder="1" applyAlignment="1">
      <alignment horizontal="center"/>
    </xf>
    <xf numFmtId="0" fontId="26" fillId="4" borderId="2" xfId="3" applyFont="1" applyFill="1" applyBorder="1" applyAlignment="1">
      <alignment horizontal="center"/>
    </xf>
    <xf numFmtId="0" fontId="26" fillId="4" borderId="3" xfId="3" applyFont="1" applyFill="1" applyBorder="1" applyAlignment="1">
      <alignment horizontal="center"/>
    </xf>
    <xf numFmtId="0" fontId="26" fillId="4" borderId="8" xfId="3" applyFont="1" applyFill="1" applyBorder="1" applyAlignment="1">
      <alignment horizontal="center"/>
    </xf>
    <xf numFmtId="0" fontId="26" fillId="0" borderId="13" xfId="3" applyFont="1" applyFill="1" applyBorder="1" applyAlignment="1">
      <alignment horizontal="center"/>
    </xf>
    <xf numFmtId="0" fontId="26" fillId="0" borderId="3" xfId="3" applyFont="1" applyFill="1" applyBorder="1" applyAlignment="1">
      <alignment horizontal="center"/>
    </xf>
    <xf numFmtId="0" fontId="26" fillId="0" borderId="14" xfId="3" applyFont="1" applyFill="1" applyBorder="1" applyAlignment="1">
      <alignment horizontal="center"/>
    </xf>
    <xf numFmtId="0" fontId="26" fillId="0" borderId="0" xfId="3" applyFont="1" applyFill="1" applyBorder="1" applyAlignment="1">
      <alignment horizontal="center"/>
    </xf>
    <xf numFmtId="0" fontId="27" fillId="0" borderId="0" xfId="3" applyFont="1" applyAlignment="1">
      <alignment horizontal="center"/>
    </xf>
    <xf numFmtId="169" fontId="26" fillId="0" borderId="0" xfId="3" applyNumberFormat="1" applyFont="1" applyBorder="1" applyAlignment="1">
      <alignment horizontal="center"/>
    </xf>
    <xf numFmtId="0" fontId="26" fillId="3" borderId="15" xfId="3" quotePrefix="1" applyFont="1" applyFill="1" applyBorder="1" applyAlignment="1">
      <alignment horizontal="center"/>
    </xf>
    <xf numFmtId="0" fontId="26" fillId="3" borderId="0" xfId="3" quotePrefix="1" applyFont="1" applyFill="1" applyBorder="1" applyAlignment="1">
      <alignment horizontal="center"/>
    </xf>
    <xf numFmtId="0" fontId="26" fillId="3" borderId="16" xfId="3" quotePrefix="1" applyFont="1" applyFill="1" applyBorder="1" applyAlignment="1">
      <alignment horizontal="center"/>
    </xf>
    <xf numFmtId="0" fontId="26" fillId="4" borderId="7" xfId="3" applyFont="1" applyFill="1" applyBorder="1" applyAlignment="1">
      <alignment horizontal="center"/>
    </xf>
    <xf numFmtId="0" fontId="26" fillId="4" borderId="17" xfId="3" applyFont="1" applyFill="1" applyBorder="1" applyAlignment="1">
      <alignment horizontal="center"/>
    </xf>
    <xf numFmtId="0" fontId="26" fillId="4" borderId="18" xfId="3" applyFont="1" applyFill="1" applyBorder="1" applyAlignment="1">
      <alignment horizontal="center"/>
    </xf>
    <xf numFmtId="0" fontId="26" fillId="3" borderId="17" xfId="3" applyFont="1" applyFill="1" applyBorder="1" applyAlignment="1">
      <alignment horizontal="center"/>
    </xf>
    <xf numFmtId="0" fontId="26" fillId="3" borderId="0" xfId="3" applyFont="1" applyFill="1" applyBorder="1" applyAlignment="1">
      <alignment horizontal="center"/>
    </xf>
    <xf numFmtId="0" fontId="26" fillId="0" borderId="19" xfId="3" quotePrefix="1" applyFont="1" applyFill="1" applyBorder="1" applyAlignment="1">
      <alignment horizontal="center"/>
    </xf>
    <xf numFmtId="37" fontId="25" fillId="0" borderId="0" xfId="3" applyNumberFormat="1" applyFont="1" applyBorder="1" applyAlignment="1">
      <alignment horizontal="center"/>
    </xf>
    <xf numFmtId="0" fontId="26" fillId="0" borderId="20" xfId="3" applyFont="1" applyBorder="1" applyAlignment="1">
      <alignment horizontal="center"/>
    </xf>
    <xf numFmtId="168" fontId="25" fillId="0" borderId="15" xfId="3" applyNumberFormat="1" applyFont="1" applyFill="1" applyBorder="1" applyAlignment="1">
      <alignment horizontal="center"/>
    </xf>
    <xf numFmtId="168" fontId="25" fillId="0" borderId="0" xfId="3" applyNumberFormat="1" applyFont="1" applyFill="1" applyBorder="1" applyAlignment="1">
      <alignment horizontal="center"/>
    </xf>
    <xf numFmtId="168" fontId="25" fillId="0" borderId="16" xfId="3" applyNumberFormat="1" applyFont="1" applyFill="1" applyBorder="1" applyAlignment="1">
      <alignment horizontal="center"/>
    </xf>
    <xf numFmtId="168" fontId="28" fillId="0" borderId="15" xfId="3" applyNumberFormat="1" applyFont="1" applyFill="1" applyBorder="1" applyAlignment="1">
      <alignment horizontal="center"/>
    </xf>
    <xf numFmtId="168" fontId="28" fillId="0" borderId="0" xfId="3" applyNumberFormat="1" applyFont="1" applyFill="1" applyBorder="1" applyAlignment="1">
      <alignment horizontal="center"/>
    </xf>
    <xf numFmtId="168" fontId="28" fillId="0" borderId="16" xfId="3" applyNumberFormat="1" applyFont="1" applyFill="1" applyBorder="1" applyAlignment="1">
      <alignment horizontal="center"/>
    </xf>
    <xf numFmtId="170" fontId="22" fillId="0" borderId="19" xfId="3" applyNumberFormat="1" applyBorder="1" applyAlignment="1">
      <alignment horizontal="center"/>
    </xf>
    <xf numFmtId="170" fontId="22" fillId="0" borderId="0" xfId="3" applyNumberFormat="1" applyBorder="1" applyAlignment="1">
      <alignment horizontal="center"/>
    </xf>
    <xf numFmtId="170" fontId="22" fillId="0" borderId="20" xfId="3" applyNumberFormat="1" applyBorder="1" applyAlignment="1">
      <alignment horizontal="center"/>
    </xf>
    <xf numFmtId="171" fontId="22" fillId="0" borderId="0" xfId="3" applyNumberFormat="1"/>
    <xf numFmtId="168" fontId="22" fillId="0" borderId="15" xfId="3" applyNumberFormat="1" applyFont="1" applyFill="1" applyBorder="1" applyAlignment="1">
      <alignment horizontal="center"/>
    </xf>
    <xf numFmtId="168" fontId="22" fillId="0" borderId="0" xfId="3" applyNumberFormat="1" applyFont="1" applyFill="1" applyBorder="1" applyAlignment="1">
      <alignment horizontal="center"/>
    </xf>
    <xf numFmtId="168" fontId="22" fillId="0" borderId="16" xfId="3" applyNumberFormat="1" applyFont="1" applyFill="1" applyBorder="1" applyAlignment="1">
      <alignment horizontal="center"/>
    </xf>
    <xf numFmtId="168" fontId="22" fillId="0" borderId="0" xfId="3" applyNumberFormat="1" applyFont="1" applyFill="1" applyAlignment="1">
      <alignment horizontal="center"/>
    </xf>
    <xf numFmtId="169" fontId="22" fillId="0" borderId="0" xfId="3" applyNumberFormat="1" applyFont="1" applyAlignment="1">
      <alignment horizontal="center"/>
    </xf>
    <xf numFmtId="168" fontId="25" fillId="0" borderId="0" xfId="3" applyNumberFormat="1" applyFont="1" applyFill="1" applyAlignment="1">
      <alignment horizontal="center"/>
    </xf>
    <xf numFmtId="169" fontId="22" fillId="0" borderId="0" xfId="3" applyNumberFormat="1" applyFill="1" applyAlignment="1">
      <alignment horizontal="center"/>
    </xf>
    <xf numFmtId="170" fontId="22" fillId="0" borderId="19" xfId="3" applyNumberFormat="1" applyFill="1" applyBorder="1" applyAlignment="1">
      <alignment horizontal="center"/>
    </xf>
    <xf numFmtId="170" fontId="22" fillId="0" borderId="0" xfId="3" applyNumberFormat="1" applyFill="1" applyBorder="1" applyAlignment="1">
      <alignment horizontal="center"/>
    </xf>
    <xf numFmtId="170" fontId="22" fillId="0" borderId="20" xfId="3" applyNumberFormat="1" applyFill="1" applyBorder="1" applyAlignment="1">
      <alignment horizontal="center"/>
    </xf>
    <xf numFmtId="169" fontId="22" fillId="0" borderId="0" xfId="3" applyNumberFormat="1" applyFont="1" applyFill="1" applyAlignment="1">
      <alignment horizontal="center"/>
    </xf>
    <xf numFmtId="0" fontId="22" fillId="0" borderId="0" xfId="3" applyFill="1"/>
    <xf numFmtId="171" fontId="22" fillId="0" borderId="0" xfId="3" applyNumberFormat="1" applyFill="1"/>
    <xf numFmtId="169" fontId="26" fillId="0" borderId="0" xfId="3" applyNumberFormat="1" applyFont="1" applyFill="1" applyAlignment="1">
      <alignment horizontal="center"/>
    </xf>
    <xf numFmtId="168" fontId="22" fillId="0" borderId="15" xfId="3" applyNumberFormat="1" applyFill="1" applyBorder="1" applyAlignment="1">
      <alignment horizontal="center"/>
    </xf>
    <xf numFmtId="168" fontId="22" fillId="0" borderId="0" xfId="3" applyNumberFormat="1" applyFill="1" applyBorder="1" applyAlignment="1">
      <alignment horizontal="center"/>
    </xf>
    <xf numFmtId="168" fontId="22" fillId="0" borderId="16" xfId="3" applyNumberFormat="1" applyFill="1" applyBorder="1" applyAlignment="1">
      <alignment horizontal="center"/>
    </xf>
    <xf numFmtId="169" fontId="26" fillId="0" borderId="2" xfId="3" applyNumberFormat="1" applyFont="1" applyFill="1" applyBorder="1" applyAlignment="1">
      <alignment horizontal="center"/>
    </xf>
    <xf numFmtId="168" fontId="22" fillId="0" borderId="3" xfId="3" applyNumberFormat="1" applyFill="1" applyBorder="1" applyAlignment="1">
      <alignment horizontal="center"/>
    </xf>
    <xf numFmtId="0" fontId="22" fillId="0" borderId="0" xfId="3" applyFill="1" applyAlignment="1">
      <alignment horizontal="center"/>
    </xf>
    <xf numFmtId="170" fontId="22" fillId="0" borderId="0" xfId="3" applyNumberFormat="1" applyAlignment="1">
      <alignment horizontal="center"/>
    </xf>
    <xf numFmtId="10" fontId="22" fillId="0" borderId="0" xfId="3" applyNumberFormat="1" applyAlignment="1">
      <alignment horizontal="center"/>
    </xf>
    <xf numFmtId="3" fontId="22" fillId="0" borderId="0" xfId="3" applyNumberFormat="1" applyAlignment="1">
      <alignment horizontal="center"/>
    </xf>
    <xf numFmtId="170" fontId="22" fillId="0" borderId="0" xfId="3" applyNumberFormat="1" applyFill="1" applyAlignment="1">
      <alignment horizontal="center"/>
    </xf>
    <xf numFmtId="169" fontId="26" fillId="0" borderId="7" xfId="3" applyNumberFormat="1" applyFont="1" applyBorder="1" applyAlignment="1">
      <alignment horizontal="left"/>
    </xf>
    <xf numFmtId="170" fontId="22" fillId="0" borderId="17" xfId="3" applyNumberFormat="1" applyBorder="1" applyAlignment="1">
      <alignment horizontal="center"/>
    </xf>
    <xf numFmtId="170" fontId="22" fillId="0" borderId="18" xfId="3" applyNumberFormat="1" applyBorder="1" applyAlignment="1">
      <alignment horizontal="center"/>
    </xf>
    <xf numFmtId="169" fontId="22" fillId="0" borderId="15" xfId="3" applyNumberFormat="1" applyBorder="1" applyAlignment="1">
      <alignment horizontal="left"/>
    </xf>
    <xf numFmtId="170" fontId="22" fillId="0" borderId="16" xfId="3" applyNumberFormat="1" applyBorder="1" applyAlignment="1">
      <alignment horizontal="center"/>
    </xf>
    <xf numFmtId="169" fontId="22" fillId="0" borderId="15" xfId="3" applyNumberFormat="1" applyBorder="1" applyAlignment="1">
      <alignment horizontal="center"/>
    </xf>
    <xf numFmtId="0" fontId="22" fillId="0" borderId="0" xfId="3" applyBorder="1" applyAlignment="1">
      <alignment horizontal="center"/>
    </xf>
    <xf numFmtId="0" fontId="26" fillId="0" borderId="0" xfId="3" applyFont="1" applyBorder="1" applyAlignment="1">
      <alignment horizontal="center"/>
    </xf>
    <xf numFmtId="0" fontId="22" fillId="0" borderId="16" xfId="3" applyBorder="1" applyAlignment="1">
      <alignment horizontal="center"/>
    </xf>
    <xf numFmtId="172" fontId="24" fillId="0" borderId="0" xfId="3" applyNumberFormat="1" applyFont="1" applyFill="1" applyBorder="1" applyAlignment="1">
      <alignment horizontal="center"/>
    </xf>
    <xf numFmtId="0" fontId="29" fillId="0" borderId="0" xfId="3" applyFont="1" applyBorder="1" applyAlignment="1">
      <alignment horizontal="center"/>
    </xf>
    <xf numFmtId="0" fontId="26" fillId="0" borderId="0" xfId="3" applyFont="1" applyFill="1" applyAlignment="1">
      <alignment horizontal="left"/>
    </xf>
    <xf numFmtId="3" fontId="22" fillId="0" borderId="0" xfId="3" applyNumberFormat="1" applyFill="1" applyAlignment="1">
      <alignment horizontal="center"/>
    </xf>
    <xf numFmtId="37" fontId="28" fillId="0" borderId="0" xfId="3" applyNumberFormat="1" applyFont="1" applyBorder="1" applyAlignment="1">
      <alignment horizontal="center"/>
    </xf>
    <xf numFmtId="7" fontId="28" fillId="0" borderId="0" xfId="3" applyNumberFormat="1" applyFont="1" applyBorder="1" applyAlignment="1">
      <alignment horizontal="center"/>
    </xf>
    <xf numFmtId="7" fontId="22" fillId="0" borderId="0" xfId="3" applyNumberFormat="1" applyBorder="1" applyAlignment="1">
      <alignment horizontal="center"/>
    </xf>
    <xf numFmtId="7" fontId="22" fillId="0" borderId="0" xfId="3" applyNumberFormat="1" applyBorder="1" applyAlignment="1">
      <alignment horizontal="left"/>
    </xf>
    <xf numFmtId="7" fontId="22" fillId="0" borderId="21" xfId="3" applyNumberFormat="1" applyBorder="1" applyAlignment="1">
      <alignment horizontal="center"/>
    </xf>
    <xf numFmtId="7" fontId="22" fillId="0" borderId="22" xfId="3" applyNumberFormat="1" applyBorder="1" applyAlignment="1">
      <alignment horizontal="left"/>
    </xf>
    <xf numFmtId="169" fontId="22" fillId="0" borderId="12" xfId="3" applyNumberFormat="1" applyBorder="1" applyAlignment="1">
      <alignment horizontal="center"/>
    </xf>
    <xf numFmtId="0" fontId="22" fillId="0" borderId="10" xfId="3" applyBorder="1" applyAlignment="1">
      <alignment horizontal="center"/>
    </xf>
    <xf numFmtId="37" fontId="28" fillId="0" borderId="10" xfId="3" applyNumberFormat="1" applyFont="1" applyBorder="1" applyAlignment="1">
      <alignment horizontal="center"/>
    </xf>
    <xf numFmtId="0" fontId="22" fillId="0" borderId="23" xfId="3" applyBorder="1" applyAlignment="1">
      <alignment horizontal="center"/>
    </xf>
    <xf numFmtId="169" fontId="25" fillId="0" borderId="0" xfId="3" applyNumberFormat="1" applyFont="1" applyAlignment="1">
      <alignment horizontal="left"/>
    </xf>
    <xf numFmtId="172" fontId="22" fillId="0" borderId="0" xfId="3" applyNumberFormat="1" applyAlignment="1">
      <alignment horizontal="center"/>
    </xf>
    <xf numFmtId="170" fontId="30" fillId="0" borderId="0" xfId="3" applyNumberFormat="1" applyFont="1" applyAlignment="1">
      <alignment horizontal="center"/>
    </xf>
    <xf numFmtId="170" fontId="30" fillId="0" borderId="0" xfId="3" applyNumberFormat="1" applyFont="1" applyFill="1" applyAlignment="1">
      <alignment horizontal="center"/>
    </xf>
    <xf numFmtId="170" fontId="31" fillId="0" borderId="0" xfId="3" applyNumberFormat="1" applyFont="1" applyAlignment="1">
      <alignment horizontal="center"/>
    </xf>
    <xf numFmtId="168" fontId="32" fillId="0" borderId="0" xfId="3" applyNumberFormat="1" applyFont="1" applyFill="1" applyAlignment="1">
      <alignment horizontal="center"/>
    </xf>
    <xf numFmtId="170" fontId="33" fillId="0" borderId="0" xfId="3" applyNumberFormat="1" applyFont="1" applyAlignment="1">
      <alignment horizontal="center"/>
    </xf>
    <xf numFmtId="170" fontId="33" fillId="0" borderId="0" xfId="3" applyNumberFormat="1" applyFont="1" applyFill="1" applyAlignment="1">
      <alignment horizontal="center"/>
    </xf>
    <xf numFmtId="173" fontId="19" fillId="0" borderId="0" xfId="1" quotePrefix="1" applyNumberFormat="1" applyFont="1"/>
    <xf numFmtId="0" fontId="0" fillId="5" borderId="0" xfId="0" applyFont="1" applyFill="1" applyAlignment="1">
      <alignment horizontal="right"/>
    </xf>
    <xf numFmtId="0" fontId="0" fillId="5" borderId="0" xfId="0" applyFont="1" applyFill="1"/>
    <xf numFmtId="7" fontId="0" fillId="5" borderId="0" xfId="0" applyNumberFormat="1" applyFont="1" applyFill="1"/>
    <xf numFmtId="7" fontId="2" fillId="5" borderId="0" xfId="0" applyNumberFormat="1" applyFont="1" applyFill="1"/>
    <xf numFmtId="0" fontId="0" fillId="5" borderId="0" xfId="0" applyFill="1" applyAlignment="1">
      <alignment horizontal="right"/>
    </xf>
    <xf numFmtId="0" fontId="0" fillId="5" borderId="0" xfId="0" applyFill="1"/>
    <xf numFmtId="7" fontId="19" fillId="5" borderId="0" xfId="0" quotePrefix="1" applyNumberFormat="1" applyFont="1" applyFill="1"/>
    <xf numFmtId="7" fontId="21" fillId="5" borderId="0" xfId="0" applyNumberFormat="1" applyFont="1" applyFill="1"/>
    <xf numFmtId="7" fontId="3" fillId="0" borderId="0" xfId="0" applyNumberFormat="1" applyFont="1"/>
    <xf numFmtId="0" fontId="0" fillId="0" borderId="15" xfId="0" applyBorder="1"/>
    <xf numFmtId="164" fontId="3" fillId="0" borderId="0" xfId="0" applyNumberFormat="1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0" fontId="19" fillId="0" borderId="15" xfId="0" quotePrefix="1" applyFont="1" applyBorder="1"/>
    <xf numFmtId="0" fontId="3" fillId="0" borderId="0" xfId="0" applyFont="1" applyBorder="1" applyAlignment="1">
      <alignment horizontal="center"/>
    </xf>
    <xf numFmtId="0" fontId="19" fillId="0" borderId="15" xfId="0" applyFont="1" applyBorder="1"/>
    <xf numFmtId="174" fontId="19" fillId="0" borderId="0" xfId="0" applyNumberFormat="1" applyFon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34" fillId="0" borderId="15" xfId="0" applyFont="1" applyBorder="1"/>
    <xf numFmtId="0" fontId="34" fillId="0" borderId="12" xfId="0" applyFont="1" applyBorder="1"/>
    <xf numFmtId="0" fontId="0" fillId="0" borderId="10" xfId="0" applyBorder="1" applyAlignment="1">
      <alignment horizontal="center"/>
    </xf>
    <xf numFmtId="168" fontId="0" fillId="0" borderId="23" xfId="0" applyNumberForma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29" fillId="0" borderId="0" xfId="3" applyFont="1" applyBorder="1" applyAlignment="1">
      <alignment horizontal="center"/>
    </xf>
    <xf numFmtId="0" fontId="26" fillId="0" borderId="2" xfId="3" applyFont="1" applyBorder="1" applyAlignment="1">
      <alignment horizontal="center"/>
    </xf>
    <xf numFmtId="0" fontId="26" fillId="0" borderId="3" xfId="3" applyFont="1" applyBorder="1" applyAlignment="1">
      <alignment horizontal="center"/>
    </xf>
    <xf numFmtId="0" fontId="26" fillId="0" borderId="4" xfId="3" applyFont="1" applyBorder="1" applyAlignment="1">
      <alignment horizontal="center"/>
    </xf>
    <xf numFmtId="0" fontId="26" fillId="0" borderId="5" xfId="3" applyFont="1" applyBorder="1" applyAlignment="1">
      <alignment horizontal="center"/>
    </xf>
    <xf numFmtId="0" fontId="26" fillId="0" borderId="6" xfId="3" applyFont="1" applyBorder="1" applyAlignment="1">
      <alignment horizontal="center"/>
    </xf>
    <xf numFmtId="0" fontId="26" fillId="3" borderId="2" xfId="3" applyFont="1" applyFill="1" applyBorder="1" applyAlignment="1">
      <alignment horizontal="center"/>
    </xf>
    <xf numFmtId="0" fontId="26" fillId="3" borderId="3" xfId="3" applyFont="1" applyFill="1" applyBorder="1" applyAlignment="1">
      <alignment horizontal="center"/>
    </xf>
    <xf numFmtId="0" fontId="26" fillId="3" borderId="8" xfId="3" applyFont="1" applyFill="1" applyBorder="1" applyAlignment="1">
      <alignment horizontal="center"/>
    </xf>
    <xf numFmtId="0" fontId="26" fillId="4" borderId="2" xfId="3" applyFont="1" applyFill="1" applyBorder="1" applyAlignment="1">
      <alignment horizontal="center"/>
    </xf>
    <xf numFmtId="0" fontId="26" fillId="4" borderId="3" xfId="3" applyFont="1" applyFill="1" applyBorder="1" applyAlignment="1">
      <alignment horizontal="center"/>
    </xf>
    <xf numFmtId="0" fontId="26" fillId="4" borderId="8" xfId="3" applyFont="1" applyFill="1" applyBorder="1" applyAlignment="1">
      <alignment horizontal="center"/>
    </xf>
    <xf numFmtId="0" fontId="26" fillId="0" borderId="9" xfId="3" applyFont="1" applyFill="1" applyBorder="1" applyAlignment="1">
      <alignment horizontal="center"/>
    </xf>
    <xf numFmtId="0" fontId="26" fillId="0" borderId="10" xfId="3" applyFont="1" applyFill="1" applyBorder="1" applyAlignment="1">
      <alignment horizontal="center"/>
    </xf>
    <xf numFmtId="0" fontId="26" fillId="0" borderId="11" xfId="3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75" fontId="3" fillId="0" borderId="0" xfId="0" applyNumberFormat="1" applyFont="1" applyBorder="1" applyAlignment="1">
      <alignment horizontal="center"/>
    </xf>
    <xf numFmtId="168" fontId="3" fillId="0" borderId="2" xfId="0" applyNumberFormat="1" applyFont="1" applyBorder="1" applyAlignment="1">
      <alignment horizontal="center"/>
    </xf>
    <xf numFmtId="168" fontId="3" fillId="0" borderId="8" xfId="0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view="pageLayout" zoomScaleNormal="100" zoomScaleSheetLayoutView="100" workbookViewId="0">
      <selection activeCell="H38" sqref="H38"/>
    </sheetView>
  </sheetViews>
  <sheetFormatPr defaultColWidth="9.1796875" defaultRowHeight="15.5" x14ac:dyDescent="0.35"/>
  <cols>
    <col min="1" max="1" width="4.26953125" style="2" customWidth="1"/>
    <col min="2" max="2" width="16.7265625" style="2" customWidth="1"/>
    <col min="3" max="3" width="18.54296875" style="2" customWidth="1"/>
    <col min="4" max="4" width="16.1796875" style="2" customWidth="1"/>
    <col min="5" max="5" width="5.54296875" style="2" customWidth="1"/>
    <col min="6" max="6" width="18" style="2" customWidth="1"/>
    <col min="7" max="7" width="5.1796875" style="2" customWidth="1"/>
    <col min="8" max="8" width="24.54296875" style="2" customWidth="1"/>
    <col min="9" max="9" width="12" style="2" bestFit="1" customWidth="1"/>
    <col min="10" max="10" width="13.453125" style="2" customWidth="1"/>
    <col min="11" max="16384" width="9.1796875" style="2"/>
  </cols>
  <sheetData>
    <row r="1" spans="1:10" ht="18.5" x14ac:dyDescent="0.45">
      <c r="A1" s="1" t="s">
        <v>0</v>
      </c>
    </row>
    <row r="3" spans="1:10" x14ac:dyDescent="0.35">
      <c r="A3" s="72"/>
    </row>
    <row r="4" spans="1:10" x14ac:dyDescent="0.35">
      <c r="A4" s="72"/>
    </row>
    <row r="5" spans="1:10" x14ac:dyDescent="0.35">
      <c r="A5" s="72"/>
    </row>
    <row r="8" spans="1:10" ht="18.5" x14ac:dyDescent="0.45">
      <c r="A8" s="1" t="s">
        <v>0</v>
      </c>
    </row>
    <row r="9" spans="1:10" ht="18.5" x14ac:dyDescent="0.45">
      <c r="A9" s="1" t="s">
        <v>1</v>
      </c>
    </row>
    <row r="10" spans="1:10" ht="18.5" x14ac:dyDescent="0.45">
      <c r="A10" s="3" t="s">
        <v>2</v>
      </c>
      <c r="C10" s="4">
        <v>43862</v>
      </c>
    </row>
    <row r="12" spans="1:10" x14ac:dyDescent="0.35">
      <c r="B12" s="5"/>
      <c r="C12" s="5"/>
      <c r="D12" s="6">
        <f>C10</f>
        <v>43862</v>
      </c>
      <c r="E12" s="7"/>
      <c r="F12" s="6">
        <f>C10</f>
        <v>43862</v>
      </c>
      <c r="G12" s="6"/>
      <c r="H12" s="7"/>
    </row>
    <row r="13" spans="1:10" x14ac:dyDescent="0.35">
      <c r="A13" s="8" t="s">
        <v>3</v>
      </c>
      <c r="B13" s="9" t="s">
        <v>4</v>
      </c>
      <c r="C13" s="9"/>
      <c r="D13" s="10" t="s">
        <v>5</v>
      </c>
      <c r="E13" s="11"/>
      <c r="F13" s="10" t="s">
        <v>6</v>
      </c>
      <c r="G13" s="10"/>
      <c r="H13" s="12"/>
    </row>
    <row r="14" spans="1:10" x14ac:dyDescent="0.35">
      <c r="A14" s="13">
        <v>1</v>
      </c>
      <c r="B14" s="12" t="s">
        <v>7</v>
      </c>
      <c r="C14" s="12"/>
      <c r="D14" s="14">
        <f>D31*0.3</f>
        <v>12266.18526</v>
      </c>
      <c r="E14" s="15"/>
      <c r="F14" s="14">
        <f>F31*0.3</f>
        <v>13413.248940000001</v>
      </c>
      <c r="G14" s="15"/>
      <c r="H14" s="16" t="s">
        <v>8</v>
      </c>
    </row>
    <row r="15" spans="1:10" x14ac:dyDescent="0.35">
      <c r="A15" s="13">
        <f>A14+1</f>
        <v>2</v>
      </c>
      <c r="B15" s="12" t="s">
        <v>7</v>
      </c>
      <c r="C15" s="12"/>
      <c r="D15" s="17">
        <f>IF(D31&gt;0,(D23-D31)*0.5,0)</f>
        <v>13675.282900000002</v>
      </c>
      <c r="E15" s="18"/>
      <c r="F15" s="17">
        <f>IF(F31&gt;0,(F23-F31)*0.5,0)</f>
        <v>11763.5101</v>
      </c>
      <c r="G15" s="18"/>
      <c r="H15" s="16" t="s">
        <v>9</v>
      </c>
    </row>
    <row r="16" spans="1:10" x14ac:dyDescent="0.35">
      <c r="A16" s="13">
        <f>A15+1</f>
        <v>3</v>
      </c>
      <c r="B16" s="19" t="s">
        <v>10</v>
      </c>
      <c r="C16" s="19"/>
      <c r="D16" s="20">
        <f>D14+D15</f>
        <v>25941.468160000004</v>
      </c>
      <c r="E16" s="21"/>
      <c r="F16" s="20">
        <f>F14+F15</f>
        <v>25176.759040000001</v>
      </c>
      <c r="G16" s="21"/>
      <c r="H16" s="22"/>
      <c r="I16" s="23"/>
      <c r="J16" s="23"/>
    </row>
    <row r="17" spans="1:9" x14ac:dyDescent="0.35">
      <c r="A17" s="13"/>
      <c r="B17" s="12"/>
      <c r="C17" s="12"/>
      <c r="D17" s="24"/>
      <c r="E17" s="25"/>
      <c r="F17" s="25"/>
      <c r="G17" s="25"/>
      <c r="H17" s="22"/>
    </row>
    <row r="18" spans="1:9" x14ac:dyDescent="0.35">
      <c r="A18" s="13">
        <f>A16+1</f>
        <v>4</v>
      </c>
      <c r="B18" s="12" t="s">
        <v>11</v>
      </c>
      <c r="C18" s="12"/>
      <c r="D18" s="26">
        <v>46740.51</v>
      </c>
      <c r="E18" s="27"/>
      <c r="F18" s="26">
        <v>46740.51</v>
      </c>
      <c r="G18" s="28"/>
      <c r="H18" s="22"/>
      <c r="I18" s="23"/>
    </row>
    <row r="19" spans="1:9" x14ac:dyDescent="0.35">
      <c r="A19" s="13">
        <f>A18+1</f>
        <v>5</v>
      </c>
      <c r="B19" s="12" t="s">
        <v>12</v>
      </c>
      <c r="C19" s="12"/>
      <c r="D19" s="29">
        <v>249.43</v>
      </c>
      <c r="E19" s="30"/>
      <c r="F19" s="26">
        <v>249.43</v>
      </c>
      <c r="G19" s="31"/>
      <c r="H19" s="22"/>
    </row>
    <row r="20" spans="1:9" x14ac:dyDescent="0.35">
      <c r="A20" s="13">
        <f>A19+1</f>
        <v>6</v>
      </c>
      <c r="B20" s="12" t="s">
        <v>13</v>
      </c>
      <c r="C20" s="32" t="s">
        <v>14</v>
      </c>
      <c r="D20" s="29">
        <v>0</v>
      </c>
      <c r="E20" s="30"/>
      <c r="F20" s="26">
        <v>0</v>
      </c>
      <c r="G20" s="31"/>
      <c r="H20" s="33"/>
    </row>
    <row r="21" spans="1:9" x14ac:dyDescent="0.35">
      <c r="A21" s="13"/>
      <c r="B21" s="12"/>
      <c r="C21" s="32" t="s">
        <v>15</v>
      </c>
      <c r="D21" s="29">
        <v>21247.91</v>
      </c>
      <c r="E21" s="34" t="s">
        <v>16</v>
      </c>
      <c r="F21" s="29">
        <v>21247.91</v>
      </c>
      <c r="G21" s="31"/>
      <c r="H21" s="33"/>
    </row>
    <row r="22" spans="1:9" x14ac:dyDescent="0.35">
      <c r="A22" s="13"/>
      <c r="B22" s="12"/>
      <c r="D22" s="35"/>
      <c r="E22" s="30"/>
      <c r="F22" s="31"/>
      <c r="G22" s="31"/>
      <c r="H22" s="36"/>
    </row>
    <row r="23" spans="1:9" x14ac:dyDescent="0.35">
      <c r="A23" s="13">
        <v>7</v>
      </c>
      <c r="B23" s="12" t="s">
        <v>17</v>
      </c>
      <c r="C23" s="12"/>
      <c r="D23" s="37">
        <f>D18+D19+D20+D21</f>
        <v>68237.850000000006</v>
      </c>
      <c r="E23" s="15"/>
      <c r="F23" s="14">
        <f>F18+F19+F20+F21</f>
        <v>68237.850000000006</v>
      </c>
      <c r="G23" s="15"/>
      <c r="H23" s="38"/>
    </row>
    <row r="24" spans="1:9" x14ac:dyDescent="0.35">
      <c r="D24" s="39"/>
      <c r="H24" s="38"/>
    </row>
    <row r="25" spans="1:9" x14ac:dyDescent="0.35">
      <c r="A25" s="13">
        <f>A23+1</f>
        <v>8</v>
      </c>
      <c r="B25" s="12" t="s">
        <v>18</v>
      </c>
      <c r="C25" s="12"/>
      <c r="D25" s="37">
        <f>D26+D27+D28+D29</f>
        <v>2044364.21</v>
      </c>
      <c r="E25" s="31"/>
      <c r="F25" s="37">
        <f>F26+F27+F28+F29</f>
        <v>2235541.4900000002</v>
      </c>
      <c r="G25" s="31"/>
    </row>
    <row r="26" spans="1:9" x14ac:dyDescent="0.35">
      <c r="A26" s="13"/>
      <c r="B26" s="12"/>
      <c r="C26" s="12" t="s">
        <v>19</v>
      </c>
      <c r="D26" s="29">
        <f>441929.2-204682-116398.8-84918.4-1950-1980</f>
        <v>32000.000000000015</v>
      </c>
      <c r="E26" s="31"/>
      <c r="F26" s="29">
        <v>240612</v>
      </c>
      <c r="G26" s="31"/>
      <c r="H26" s="23"/>
      <c r="I26" s="23"/>
    </row>
    <row r="27" spans="1:9" x14ac:dyDescent="0.35">
      <c r="A27" s="13"/>
      <c r="B27" s="12"/>
      <c r="C27" s="12" t="s">
        <v>20</v>
      </c>
      <c r="D27" s="29">
        <v>84918.399999999994</v>
      </c>
      <c r="E27" s="31" t="s">
        <v>21</v>
      </c>
      <c r="F27" s="29">
        <v>79614.460000000006</v>
      </c>
      <c r="G27" s="31" t="s">
        <v>22</v>
      </c>
    </row>
    <row r="28" spans="1:9" x14ac:dyDescent="0.35">
      <c r="A28" s="13"/>
      <c r="B28" s="12"/>
      <c r="C28" s="12" t="s">
        <v>23</v>
      </c>
      <c r="D28" s="29">
        <v>0</v>
      </c>
      <c r="E28" s="31"/>
      <c r="F28" s="29">
        <v>0</v>
      </c>
      <c r="G28" s="31"/>
    </row>
    <row r="29" spans="1:9" x14ac:dyDescent="0.35">
      <c r="A29" s="13"/>
      <c r="B29" s="12"/>
      <c r="C29" s="12" t="s">
        <v>24</v>
      </c>
      <c r="D29" s="29">
        <v>1927445.81</v>
      </c>
      <c r="E29" s="31"/>
      <c r="F29" s="29">
        <v>1915315.03</v>
      </c>
      <c r="G29" s="31"/>
    </row>
    <row r="30" spans="1:9" x14ac:dyDescent="0.35">
      <c r="A30" s="13"/>
      <c r="B30" s="12"/>
      <c r="C30" s="12"/>
      <c r="D30" s="29"/>
      <c r="E30" s="31"/>
      <c r="F30" s="29"/>
      <c r="G30" s="31"/>
    </row>
    <row r="31" spans="1:9" x14ac:dyDescent="0.35">
      <c r="A31" s="13">
        <v>9</v>
      </c>
      <c r="B31" s="12" t="s">
        <v>25</v>
      </c>
      <c r="C31" s="12"/>
      <c r="D31" s="38">
        <f>IF((D23/D25)&gt;=0.02,0.02*D25,D23)</f>
        <v>40887.284200000002</v>
      </c>
      <c r="E31" s="40"/>
      <c r="F31" s="38">
        <f>IF((F23/F25)&gt;=0.02,0.02*F25,F23)</f>
        <v>44710.829800000007</v>
      </c>
      <c r="G31" s="40"/>
      <c r="H31" s="12"/>
    </row>
    <row r="32" spans="1:9" x14ac:dyDescent="0.35">
      <c r="A32" s="13"/>
      <c r="B32" s="12"/>
      <c r="C32" s="12"/>
      <c r="D32" s="40"/>
      <c r="E32" s="40"/>
      <c r="F32" s="40"/>
      <c r="G32" s="40"/>
      <c r="H32" s="12"/>
    </row>
    <row r="33" spans="1:8" x14ac:dyDescent="0.35">
      <c r="A33" s="13">
        <f>A31+1</f>
        <v>10</v>
      </c>
      <c r="B33" s="12" t="s">
        <v>26</v>
      </c>
      <c r="C33" s="12"/>
      <c r="D33" s="41">
        <f>(D18+D19+D20+D21)/D25</f>
        <v>3.3378519182743864E-2</v>
      </c>
      <c r="E33" s="41"/>
      <c r="F33" s="41">
        <f>(F18+F19+F20+F21)/F25</f>
        <v>3.0524081214882752E-2</v>
      </c>
      <c r="G33" s="41"/>
      <c r="H33" s="12"/>
    </row>
    <row r="34" spans="1:8" x14ac:dyDescent="0.35">
      <c r="B34" s="12"/>
      <c r="C34" s="12"/>
      <c r="D34" s="41"/>
      <c r="E34" s="41"/>
      <c r="F34" s="41"/>
      <c r="G34" s="41"/>
      <c r="H34" s="12"/>
    </row>
    <row r="35" spans="1:8" x14ac:dyDescent="0.35">
      <c r="B35" s="12"/>
      <c r="C35" s="12"/>
      <c r="D35" s="41"/>
      <c r="E35" s="41"/>
      <c r="F35" s="41"/>
      <c r="G35" s="41"/>
      <c r="H35" s="12"/>
    </row>
    <row r="36" spans="1:8" x14ac:dyDescent="0.35">
      <c r="A36" s="204" t="s">
        <v>27</v>
      </c>
      <c r="B36" s="204"/>
      <c r="C36" s="42"/>
    </row>
    <row r="37" spans="1:8" ht="15.75" customHeight="1" x14ac:dyDescent="0.35">
      <c r="A37" s="43" t="s">
        <v>28</v>
      </c>
      <c r="B37" s="44"/>
      <c r="C37" s="44"/>
      <c r="D37" s="45" t="s">
        <v>29</v>
      </c>
    </row>
    <row r="38" spans="1:8" ht="15.75" customHeight="1" x14ac:dyDescent="0.35">
      <c r="A38" s="43" t="s">
        <v>30</v>
      </c>
      <c r="B38" s="43"/>
      <c r="C38" s="44"/>
    </row>
    <row r="39" spans="1:8" ht="15" customHeight="1" x14ac:dyDescent="0.35">
      <c r="A39" s="43" t="s">
        <v>31</v>
      </c>
      <c r="B39" s="43"/>
      <c r="C39" s="44"/>
    </row>
    <row r="40" spans="1:8" ht="15.75" customHeight="1" x14ac:dyDescent="0.35">
      <c r="A40" s="43" t="s">
        <v>32</v>
      </c>
      <c r="B40" s="43"/>
      <c r="C40" s="44"/>
    </row>
    <row r="41" spans="1:8" ht="15.75" customHeight="1" x14ac:dyDescent="0.35">
      <c r="A41" s="43" t="s">
        <v>33</v>
      </c>
      <c r="B41" s="43"/>
      <c r="C41" s="44"/>
    </row>
    <row r="42" spans="1:8" ht="15.75" customHeight="1" x14ac:dyDescent="0.35">
      <c r="A42" s="43" t="s">
        <v>34</v>
      </c>
      <c r="B42" s="43"/>
      <c r="C42" s="44"/>
    </row>
    <row r="43" spans="1:8" ht="15.75" customHeight="1" x14ac:dyDescent="0.35">
      <c r="A43" s="43" t="s">
        <v>35</v>
      </c>
      <c r="B43" s="43"/>
      <c r="C43" s="44"/>
    </row>
    <row r="44" spans="1:8" ht="15.75" customHeight="1" x14ac:dyDescent="0.35">
      <c r="A44" s="43" t="s">
        <v>36</v>
      </c>
      <c r="B44" s="43"/>
      <c r="C44" s="44"/>
    </row>
    <row r="46" spans="1:8" x14ac:dyDescent="0.35">
      <c r="A46" s="46" t="s">
        <v>37</v>
      </c>
    </row>
    <row r="48" spans="1:8" x14ac:dyDescent="0.35">
      <c r="A48" s="47"/>
    </row>
    <row r="49" spans="1:1" x14ac:dyDescent="0.35">
      <c r="A49" s="47"/>
    </row>
    <row r="50" spans="1:1" x14ac:dyDescent="0.35">
      <c r="A50" s="47"/>
    </row>
  </sheetData>
  <mergeCells count="1">
    <mergeCell ref="A36:B36"/>
  </mergeCells>
  <pageMargins left="0.25" right="0.25" top="0.75" bottom="0.75" header="0.3" footer="0.3"/>
  <pageSetup scale="93" orientation="portrait" r:id="rId1"/>
  <headerFooter>
    <oddHeader xml:space="preserve">&amp;RKY PSC CN 2020-00378  
 Staff's Data Request Set 1 No. 5 Attachment C  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view="pageLayout" zoomScaleNormal="100" zoomScaleSheetLayoutView="100" workbookViewId="0">
      <selection activeCell="H2" sqref="H2"/>
    </sheetView>
  </sheetViews>
  <sheetFormatPr defaultColWidth="9.1796875" defaultRowHeight="15.5" x14ac:dyDescent="0.35"/>
  <cols>
    <col min="1" max="1" width="4.26953125" style="2" customWidth="1"/>
    <col min="2" max="2" width="16.7265625" style="2" customWidth="1"/>
    <col min="3" max="3" width="18.54296875" style="2" customWidth="1"/>
    <col min="4" max="4" width="16.1796875" style="2" customWidth="1"/>
    <col min="5" max="5" width="5.54296875" style="2" customWidth="1"/>
    <col min="6" max="6" width="18" style="2" customWidth="1"/>
    <col min="7" max="7" width="5.1796875" style="2" customWidth="1"/>
    <col min="8" max="8" width="32.54296875" style="2" customWidth="1"/>
    <col min="9" max="9" width="12" style="2" bestFit="1" customWidth="1"/>
    <col min="10" max="16384" width="9.1796875" style="2"/>
  </cols>
  <sheetData>
    <row r="1" spans="1:8" ht="18.5" x14ac:dyDescent="0.45">
      <c r="A1" s="1" t="s">
        <v>0</v>
      </c>
    </row>
    <row r="2" spans="1:8" ht="18.5" x14ac:dyDescent="0.45">
      <c r="A2" s="1" t="s">
        <v>1</v>
      </c>
    </row>
    <row r="3" spans="1:8" ht="18.5" x14ac:dyDescent="0.45">
      <c r="A3" s="3" t="s">
        <v>2</v>
      </c>
      <c r="C3" s="4">
        <v>43952</v>
      </c>
    </row>
    <row r="5" spans="1:8" x14ac:dyDescent="0.35">
      <c r="B5" s="5"/>
      <c r="C5" s="5"/>
      <c r="D5" s="6">
        <f>C3</f>
        <v>43952</v>
      </c>
      <c r="E5" s="7"/>
      <c r="F5" s="6">
        <f>C3</f>
        <v>43952</v>
      </c>
      <c r="G5" s="6"/>
      <c r="H5" s="7"/>
    </row>
    <row r="6" spans="1:8" x14ac:dyDescent="0.35">
      <c r="A6" s="8" t="s">
        <v>3</v>
      </c>
      <c r="B6" s="9" t="s">
        <v>4</v>
      </c>
      <c r="C6" s="9"/>
      <c r="D6" s="10" t="s">
        <v>5</v>
      </c>
      <c r="E6" s="11"/>
      <c r="F6" s="10" t="s">
        <v>6</v>
      </c>
      <c r="G6" s="10"/>
      <c r="H6" s="12"/>
    </row>
    <row r="7" spans="1:8" x14ac:dyDescent="0.35">
      <c r="A7" s="13">
        <v>1</v>
      </c>
      <c r="B7" s="12" t="s">
        <v>7</v>
      </c>
      <c r="C7" s="12"/>
      <c r="D7" s="14">
        <f>D24*0.3</f>
        <v>8323.8419999999987</v>
      </c>
      <c r="E7" s="15"/>
      <c r="F7" s="14">
        <f>F24*0.3</f>
        <v>8323.1939999999995</v>
      </c>
      <c r="G7" s="15"/>
      <c r="H7" s="16" t="s">
        <v>8</v>
      </c>
    </row>
    <row r="8" spans="1:8" x14ac:dyDescent="0.35">
      <c r="A8" s="13">
        <f>A7+1</f>
        <v>2</v>
      </c>
      <c r="B8" s="12" t="s">
        <v>7</v>
      </c>
      <c r="C8" s="12"/>
      <c r="D8" s="17">
        <f>IF(D24&gt;0,(D16-D24)*0.5,0)</f>
        <v>0</v>
      </c>
      <c r="E8" s="18"/>
      <c r="F8" s="17">
        <f>IF(F24&gt;0,(F16-F24)*0.5,0)</f>
        <v>0</v>
      </c>
      <c r="G8" s="18"/>
      <c r="H8" s="16" t="s">
        <v>9</v>
      </c>
    </row>
    <row r="9" spans="1:8" x14ac:dyDescent="0.35">
      <c r="A9" s="13">
        <f>A8+1</f>
        <v>3</v>
      </c>
      <c r="B9" s="19" t="s">
        <v>10</v>
      </c>
      <c r="C9" s="19"/>
      <c r="D9" s="20">
        <f>D7+D8</f>
        <v>8323.8419999999987</v>
      </c>
      <c r="E9" s="21"/>
      <c r="F9" s="20">
        <f>F7+F8</f>
        <v>8323.1939999999995</v>
      </c>
      <c r="G9" s="21"/>
      <c r="H9" s="22"/>
    </row>
    <row r="10" spans="1:8" x14ac:dyDescent="0.35">
      <c r="A10" s="13"/>
      <c r="B10" s="12"/>
      <c r="C10" s="12"/>
      <c r="D10" s="24"/>
      <c r="E10" s="25"/>
      <c r="F10" s="25"/>
      <c r="G10" s="25"/>
      <c r="H10" s="22"/>
    </row>
    <row r="11" spans="1:8" x14ac:dyDescent="0.35">
      <c r="A11" s="13">
        <f>A9+1</f>
        <v>4</v>
      </c>
      <c r="B11" s="12" t="s">
        <v>11</v>
      </c>
      <c r="C11" s="12"/>
      <c r="D11" s="26">
        <v>0</v>
      </c>
      <c r="E11" s="27"/>
      <c r="F11" s="26">
        <v>0</v>
      </c>
      <c r="G11" s="28"/>
      <c r="H11" s="38"/>
    </row>
    <row r="12" spans="1:8" x14ac:dyDescent="0.35">
      <c r="A12" s="13">
        <f>A11+1</f>
        <v>5</v>
      </c>
      <c r="B12" s="12" t="s">
        <v>12</v>
      </c>
      <c r="C12" s="12"/>
      <c r="D12" s="29">
        <v>-7847.4</v>
      </c>
      <c r="E12" s="30"/>
      <c r="F12" s="26">
        <v>-7849.56</v>
      </c>
      <c r="G12" s="31"/>
      <c r="H12" s="22"/>
    </row>
    <row r="13" spans="1:8" x14ac:dyDescent="0.35">
      <c r="A13" s="13">
        <f>A12+1</f>
        <v>6</v>
      </c>
      <c r="B13" s="12" t="s">
        <v>13</v>
      </c>
      <c r="C13" s="32" t="s">
        <v>14</v>
      </c>
      <c r="D13" s="29">
        <v>0</v>
      </c>
      <c r="E13" s="30"/>
      <c r="F13" s="26">
        <v>0</v>
      </c>
      <c r="G13" s="31"/>
      <c r="H13" s="33"/>
    </row>
    <row r="14" spans="1:8" x14ac:dyDescent="0.35">
      <c r="A14" s="13"/>
      <c r="B14" s="12"/>
      <c r="C14" s="32" t="s">
        <v>15</v>
      </c>
      <c r="D14" s="29">
        <v>35593.54</v>
      </c>
      <c r="E14" s="34" t="s">
        <v>16</v>
      </c>
      <c r="F14" s="29">
        <v>35593.54</v>
      </c>
      <c r="G14" s="31"/>
      <c r="H14" s="33"/>
    </row>
    <row r="15" spans="1:8" x14ac:dyDescent="0.35">
      <c r="A15" s="13"/>
      <c r="B15" s="12"/>
      <c r="D15" s="35"/>
      <c r="E15" s="30"/>
      <c r="F15" s="31"/>
      <c r="G15" s="31"/>
      <c r="H15" s="36"/>
    </row>
    <row r="16" spans="1:8" x14ac:dyDescent="0.35">
      <c r="A16" s="13">
        <v>7</v>
      </c>
      <c r="B16" s="12" t="s">
        <v>17</v>
      </c>
      <c r="C16" s="12"/>
      <c r="D16" s="37">
        <f>D11+D12+D13+D14</f>
        <v>27746.14</v>
      </c>
      <c r="E16" s="15"/>
      <c r="F16" s="14">
        <f>F11+F12+F13+F14</f>
        <v>27743.98</v>
      </c>
      <c r="G16" s="15"/>
      <c r="H16" s="38"/>
    </row>
    <row r="17" spans="1:9" x14ac:dyDescent="0.35">
      <c r="D17" s="39"/>
      <c r="H17" s="38"/>
    </row>
    <row r="18" spans="1:9" x14ac:dyDescent="0.35">
      <c r="A18" s="13">
        <f>A16+1</f>
        <v>8</v>
      </c>
      <c r="B18" s="12" t="s">
        <v>18</v>
      </c>
      <c r="C18" s="12"/>
      <c r="D18" s="37">
        <f>D19+D20+D21+D22</f>
        <v>3119148.3</v>
      </c>
      <c r="E18" s="31"/>
      <c r="F18" s="37">
        <f>F19+F20+F21+F22</f>
        <v>3126230.82</v>
      </c>
      <c r="G18" s="31"/>
      <c r="H18" s="23"/>
    </row>
    <row r="19" spans="1:9" x14ac:dyDescent="0.35">
      <c r="A19" s="13"/>
      <c r="B19" s="12"/>
      <c r="C19" s="12" t="s">
        <v>19</v>
      </c>
      <c r="D19" s="29">
        <f>1824229.09-36720-17037.6</f>
        <v>1770471.49</v>
      </c>
      <c r="E19" s="31"/>
      <c r="F19" s="29">
        <v>1770473.65</v>
      </c>
      <c r="G19" s="31"/>
      <c r="H19" s="23"/>
      <c r="I19" s="23"/>
    </row>
    <row r="20" spans="1:9" x14ac:dyDescent="0.35">
      <c r="A20" s="13"/>
      <c r="B20" s="12"/>
      <c r="C20" s="12" t="s">
        <v>102</v>
      </c>
      <c r="D20" s="29">
        <v>17037.599999999999</v>
      </c>
      <c r="E20" s="31" t="s">
        <v>21</v>
      </c>
      <c r="F20" s="29">
        <v>31526.43</v>
      </c>
      <c r="G20" s="31" t="s">
        <v>22</v>
      </c>
    </row>
    <row r="21" spans="1:9" x14ac:dyDescent="0.35">
      <c r="A21" s="13"/>
      <c r="B21" s="12"/>
      <c r="C21" s="12" t="s">
        <v>23</v>
      </c>
      <c r="D21" s="29">
        <v>0</v>
      </c>
      <c r="E21" s="31"/>
      <c r="F21" s="29">
        <v>0</v>
      </c>
      <c r="G21" s="31"/>
    </row>
    <row r="22" spans="1:9" x14ac:dyDescent="0.35">
      <c r="A22" s="13"/>
      <c r="B22" s="12"/>
      <c r="C22" s="12" t="s">
        <v>24</v>
      </c>
      <c r="D22" s="29">
        <v>1331639.21</v>
      </c>
      <c r="E22" s="31"/>
      <c r="F22" s="29">
        <v>1324230.74</v>
      </c>
      <c r="G22" s="31"/>
    </row>
    <row r="23" spans="1:9" x14ac:dyDescent="0.35">
      <c r="A23" s="13"/>
      <c r="B23" s="12"/>
      <c r="C23" s="12"/>
      <c r="D23" s="29"/>
      <c r="E23" s="31"/>
      <c r="F23" s="29"/>
      <c r="G23" s="31"/>
    </row>
    <row r="24" spans="1:9" x14ac:dyDescent="0.35">
      <c r="A24" s="13">
        <v>9</v>
      </c>
      <c r="B24" s="12" t="s">
        <v>25</v>
      </c>
      <c r="C24" s="12"/>
      <c r="D24" s="38">
        <f>IF((D16/D18)&gt;=0.02,0.02*D18,D16)</f>
        <v>27746.14</v>
      </c>
      <c r="E24" s="40"/>
      <c r="F24" s="38">
        <f>IF((F16/F18)&gt;=0.02,0.02*F18,F16)</f>
        <v>27743.98</v>
      </c>
      <c r="G24" s="40"/>
      <c r="H24" s="12"/>
    </row>
    <row r="25" spans="1:9" x14ac:dyDescent="0.35">
      <c r="A25" s="13"/>
      <c r="B25" s="12"/>
      <c r="C25" s="12"/>
      <c r="D25" s="40"/>
      <c r="E25" s="40"/>
      <c r="F25" s="40"/>
      <c r="G25" s="40"/>
      <c r="H25" s="12"/>
    </row>
    <row r="26" spans="1:9" x14ac:dyDescent="0.35">
      <c r="A26" s="13">
        <f>A24+1</f>
        <v>10</v>
      </c>
      <c r="B26" s="12" t="s">
        <v>26</v>
      </c>
      <c r="C26" s="12"/>
      <c r="D26" s="41">
        <f>(D11+D12+D13+D14)/D18</f>
        <v>8.8954218688479803E-3</v>
      </c>
      <c r="E26" s="41"/>
      <c r="F26" s="41">
        <f>(F11+F12+F13+F14)/F18</f>
        <v>8.8745782373164626E-3</v>
      </c>
      <c r="G26" s="41"/>
      <c r="H26" s="12"/>
    </row>
    <row r="27" spans="1:9" x14ac:dyDescent="0.35">
      <c r="B27" s="12"/>
      <c r="C27" s="12"/>
      <c r="D27" s="41"/>
      <c r="E27" s="41"/>
      <c r="F27" s="41"/>
      <c r="G27" s="41"/>
      <c r="H27" s="12"/>
    </row>
    <row r="28" spans="1:9" x14ac:dyDescent="0.35">
      <c r="B28" s="12"/>
      <c r="C28" s="12"/>
      <c r="D28" s="41"/>
      <c r="E28" s="41"/>
      <c r="F28" s="41"/>
      <c r="G28" s="41"/>
      <c r="H28" s="12"/>
    </row>
    <row r="29" spans="1:9" x14ac:dyDescent="0.35">
      <c r="A29" s="204" t="s">
        <v>27</v>
      </c>
      <c r="B29" s="204"/>
      <c r="C29" s="42"/>
    </row>
    <row r="30" spans="1:9" ht="15.75" customHeight="1" x14ac:dyDescent="0.35">
      <c r="A30" s="43" t="s">
        <v>28</v>
      </c>
      <c r="B30" s="44"/>
      <c r="C30" s="44"/>
      <c r="D30" s="45" t="s">
        <v>29</v>
      </c>
    </row>
    <row r="31" spans="1:9" ht="15.75" customHeight="1" x14ac:dyDescent="0.35">
      <c r="A31" s="43" t="s">
        <v>30</v>
      </c>
      <c r="B31" s="43"/>
      <c r="C31" s="44"/>
    </row>
    <row r="32" spans="1:9" ht="15" customHeight="1" x14ac:dyDescent="0.35">
      <c r="A32" s="43" t="s">
        <v>31</v>
      </c>
      <c r="B32" s="43"/>
      <c r="C32" s="44"/>
    </row>
    <row r="33" spans="1:3" ht="15.75" customHeight="1" x14ac:dyDescent="0.35">
      <c r="A33" s="43" t="s">
        <v>32</v>
      </c>
      <c r="B33" s="43"/>
      <c r="C33" s="44"/>
    </row>
    <row r="34" spans="1:3" ht="15.75" customHeight="1" x14ac:dyDescent="0.35">
      <c r="A34" s="43" t="s">
        <v>33</v>
      </c>
      <c r="B34" s="43"/>
      <c r="C34" s="44"/>
    </row>
    <row r="35" spans="1:3" ht="15.75" customHeight="1" x14ac:dyDescent="0.35">
      <c r="A35" s="43" t="s">
        <v>34</v>
      </c>
      <c r="B35" s="43"/>
      <c r="C35" s="44"/>
    </row>
    <row r="36" spans="1:3" ht="15.75" customHeight="1" x14ac:dyDescent="0.35">
      <c r="A36" s="43" t="s">
        <v>35</v>
      </c>
      <c r="B36" s="43"/>
      <c r="C36" s="44"/>
    </row>
    <row r="37" spans="1:3" ht="15.75" customHeight="1" x14ac:dyDescent="0.35">
      <c r="A37" s="43" t="s">
        <v>36</v>
      </c>
      <c r="B37" s="43"/>
      <c r="C37" s="44"/>
    </row>
    <row r="39" spans="1:3" x14ac:dyDescent="0.35">
      <c r="A39" s="46" t="s">
        <v>37</v>
      </c>
    </row>
    <row r="41" spans="1:3" x14ac:dyDescent="0.35">
      <c r="A41" s="47"/>
    </row>
    <row r="42" spans="1:3" x14ac:dyDescent="0.35">
      <c r="A42" s="47"/>
    </row>
    <row r="43" spans="1:3" x14ac:dyDescent="0.35">
      <c r="A43" s="47"/>
    </row>
  </sheetData>
  <mergeCells count="1">
    <mergeCell ref="A29:B29"/>
  </mergeCells>
  <pageMargins left="0.25" right="0.25" top="0.75" bottom="0.75" header="0.3" footer="0.3"/>
  <pageSetup scale="86" orientation="portrait" r:id="rId1"/>
  <headerFooter>
    <oddHeader xml:space="preserve">&amp;RKY PSC CN 2020-00378  
 Staff's Data Request Set 1 No. 5 Attachment C  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Layout" topLeftCell="B1" zoomScaleNormal="100" workbookViewId="0">
      <selection activeCell="L4" sqref="L4"/>
    </sheetView>
  </sheetViews>
  <sheetFormatPr defaultRowHeight="14.5" x14ac:dyDescent="0.35"/>
  <cols>
    <col min="1" max="1" width="15.26953125" customWidth="1"/>
    <col min="2" max="2" width="11.7265625" style="48" customWidth="1"/>
    <col min="3" max="3" width="9.26953125" style="48" customWidth="1"/>
    <col min="4" max="4" width="9.81640625" style="48" customWidth="1"/>
    <col min="5" max="5" width="7.81640625" style="48" customWidth="1"/>
    <col min="6" max="6" width="9.7265625" style="48" customWidth="1"/>
    <col min="7" max="7" width="10" style="49" customWidth="1"/>
    <col min="8" max="8" width="23.54296875" customWidth="1"/>
    <col min="9" max="9" width="1.453125" customWidth="1"/>
    <col min="10" max="10" width="15.26953125" style="50" customWidth="1"/>
    <col min="11" max="11" width="3.7265625" style="50" customWidth="1"/>
    <col min="12" max="12" width="22.453125" customWidth="1"/>
    <col min="14" max="14" width="16" customWidth="1"/>
    <col min="15" max="15" width="12.81640625" customWidth="1"/>
    <col min="16" max="16" width="11.81640625" bestFit="1" customWidth="1"/>
  </cols>
  <sheetData>
    <row r="1" spans="1:14" ht="18.5" x14ac:dyDescent="0.45">
      <c r="A1" s="1" t="s">
        <v>38</v>
      </c>
    </row>
    <row r="2" spans="1:14" ht="18.5" x14ac:dyDescent="0.45">
      <c r="A2" s="1"/>
    </row>
    <row r="3" spans="1:14" ht="18.5" x14ac:dyDescent="0.45">
      <c r="A3" s="1" t="s">
        <v>39</v>
      </c>
      <c r="B3" s="51">
        <f>'May 20 TCPS CALC'!C3</f>
        <v>43952</v>
      </c>
      <c r="C3" s="52"/>
    </row>
    <row r="5" spans="1:14" x14ac:dyDescent="0.35">
      <c r="D5" s="53" t="s">
        <v>40</v>
      </c>
      <c r="E5" s="53" t="s">
        <v>41</v>
      </c>
    </row>
    <row r="6" spans="1:14" x14ac:dyDescent="0.35">
      <c r="C6" s="54" t="s">
        <v>42</v>
      </c>
      <c r="D6" s="54" t="s">
        <v>43</v>
      </c>
      <c r="E6" s="54" t="s">
        <v>44</v>
      </c>
      <c r="F6" s="54" t="s">
        <v>45</v>
      </c>
      <c r="G6" s="55" t="s">
        <v>46</v>
      </c>
      <c r="H6" s="54" t="s">
        <v>47</v>
      </c>
      <c r="J6" s="56" t="s">
        <v>48</v>
      </c>
      <c r="K6" s="56"/>
      <c r="L6" s="56" t="s">
        <v>49</v>
      </c>
    </row>
    <row r="7" spans="1:14" x14ac:dyDescent="0.35">
      <c r="A7" t="s">
        <v>50</v>
      </c>
      <c r="B7" s="48" t="s">
        <v>51</v>
      </c>
      <c r="C7" s="48" t="s">
        <v>52</v>
      </c>
      <c r="D7" s="48">
        <v>352234</v>
      </c>
      <c r="E7" s="48" t="s">
        <v>53</v>
      </c>
      <c r="F7" s="57">
        <v>16000</v>
      </c>
      <c r="G7" s="58">
        <v>4.5805999999999996</v>
      </c>
      <c r="H7" s="59" t="s">
        <v>54</v>
      </c>
      <c r="J7" s="50">
        <f>F7*G7</f>
        <v>73289.599999999991</v>
      </c>
      <c r="K7" s="60"/>
      <c r="L7" s="50">
        <f>F7*G7</f>
        <v>73289.599999999991</v>
      </c>
      <c r="M7" s="61"/>
      <c r="N7" s="50"/>
    </row>
    <row r="8" spans="1:14" x14ac:dyDescent="0.35">
      <c r="C8" s="48" t="s">
        <v>55</v>
      </c>
      <c r="D8" s="48">
        <v>80160</v>
      </c>
      <c r="E8" s="48" t="s">
        <v>56</v>
      </c>
      <c r="F8" s="57">
        <v>104940</v>
      </c>
      <c r="G8" s="58">
        <v>4.1849999999999996</v>
      </c>
      <c r="H8" s="59" t="s">
        <v>54</v>
      </c>
      <c r="J8" s="50">
        <f>F8*G8</f>
        <v>439173.89999999997</v>
      </c>
      <c r="K8" s="60"/>
      <c r="L8" s="50">
        <f>F8*G8</f>
        <v>439173.89999999997</v>
      </c>
      <c r="N8" s="50"/>
    </row>
    <row r="9" spans="1:14" x14ac:dyDescent="0.35">
      <c r="F9" s="57"/>
      <c r="G9" s="58"/>
      <c r="H9" s="59"/>
      <c r="J9" s="62"/>
      <c r="K9" s="60"/>
      <c r="L9" s="62"/>
      <c r="N9" s="50"/>
    </row>
    <row r="10" spans="1:14" x14ac:dyDescent="0.35">
      <c r="F10" s="57"/>
      <c r="G10" s="58"/>
      <c r="H10" s="59"/>
      <c r="J10" s="50">
        <f>SUM(J7:J9)</f>
        <v>512463.49999999994</v>
      </c>
      <c r="K10" s="63"/>
      <c r="L10" s="50">
        <f>SUM(L7:L9)</f>
        <v>512463.49999999994</v>
      </c>
    </row>
    <row r="11" spans="1:14" x14ac:dyDescent="0.35">
      <c r="D11" s="48">
        <v>0</v>
      </c>
      <c r="F11" s="57"/>
      <c r="G11" s="58"/>
      <c r="H11" s="59"/>
      <c r="K11" s="63"/>
      <c r="L11" s="50"/>
    </row>
    <row r="12" spans="1:14" x14ac:dyDescent="0.35">
      <c r="D12" s="48">
        <v>0</v>
      </c>
      <c r="F12" s="64"/>
      <c r="G12" s="65" t="s">
        <v>57</v>
      </c>
      <c r="H12" s="59"/>
      <c r="K12" s="63"/>
      <c r="L12" s="50"/>
    </row>
    <row r="13" spans="1:14" x14ac:dyDescent="0.35">
      <c r="A13" t="s">
        <v>58</v>
      </c>
      <c r="B13" s="48" t="s">
        <v>59</v>
      </c>
      <c r="C13" s="48" t="s">
        <v>52</v>
      </c>
      <c r="D13" s="48">
        <v>352234</v>
      </c>
      <c r="E13" s="48" t="s">
        <v>53</v>
      </c>
      <c r="F13" s="57">
        <v>16000</v>
      </c>
      <c r="G13" s="58">
        <v>4.5805999999999996</v>
      </c>
      <c r="H13" s="59" t="s">
        <v>60</v>
      </c>
      <c r="J13" s="50">
        <f>F13*G13</f>
        <v>73289.599999999991</v>
      </c>
      <c r="K13" s="60"/>
      <c r="L13" s="50">
        <f>F13*G13</f>
        <v>73289.599999999991</v>
      </c>
      <c r="N13" s="50"/>
    </row>
    <row r="14" spans="1:14" x14ac:dyDescent="0.35">
      <c r="C14" s="48" t="s">
        <v>55</v>
      </c>
      <c r="D14" s="48">
        <v>80160</v>
      </c>
      <c r="E14" s="48" t="s">
        <v>56</v>
      </c>
      <c r="F14" s="57">
        <v>104940</v>
      </c>
      <c r="G14" s="58">
        <v>4.1849999999999996</v>
      </c>
      <c r="H14" s="59" t="s">
        <v>60</v>
      </c>
      <c r="J14" s="50">
        <f>F14*G14</f>
        <v>439173.89999999997</v>
      </c>
      <c r="K14" s="60"/>
      <c r="L14" s="50">
        <f>F14*G14</f>
        <v>439173.89999999997</v>
      </c>
      <c r="N14" s="50"/>
    </row>
    <row r="15" spans="1:14" x14ac:dyDescent="0.35">
      <c r="F15" s="57"/>
      <c r="G15" s="58"/>
      <c r="H15" s="59"/>
      <c r="K15" s="60"/>
      <c r="L15" s="66"/>
      <c r="N15" s="50"/>
    </row>
    <row r="16" spans="1:14" x14ac:dyDescent="0.35">
      <c r="F16" s="57"/>
      <c r="G16" s="58"/>
      <c r="H16" s="59"/>
      <c r="J16" s="67"/>
      <c r="L16" s="67"/>
    </row>
    <row r="17" spans="1:16" x14ac:dyDescent="0.35">
      <c r="H17" s="59"/>
      <c r="J17" s="50">
        <f>SUM(J13:J16)</f>
        <v>512463.49999999994</v>
      </c>
      <c r="L17" s="50">
        <f>SUM(L13:L16)</f>
        <v>512463.49999999994</v>
      </c>
    </row>
    <row r="18" spans="1:16" x14ac:dyDescent="0.35">
      <c r="D18" s="48">
        <v>0</v>
      </c>
      <c r="H18" s="59"/>
      <c r="L18" s="50"/>
    </row>
    <row r="19" spans="1:16" x14ac:dyDescent="0.35">
      <c r="A19" s="72" t="s">
        <v>61</v>
      </c>
      <c r="C19" s="53" t="s">
        <v>62</v>
      </c>
      <c r="D19" s="53" t="s">
        <v>63</v>
      </c>
      <c r="F19" s="57">
        <v>0</v>
      </c>
      <c r="G19" s="58">
        <v>0</v>
      </c>
      <c r="H19" s="59"/>
      <c r="J19" s="67">
        <v>0</v>
      </c>
      <c r="L19" s="67">
        <v>0</v>
      </c>
    </row>
    <row r="20" spans="1:16" x14ac:dyDescent="0.35">
      <c r="A20" s="72" t="s">
        <v>61</v>
      </c>
      <c r="C20" s="53" t="s">
        <v>62</v>
      </c>
      <c r="D20" s="53" t="s">
        <v>63</v>
      </c>
      <c r="F20" s="57">
        <v>0</v>
      </c>
      <c r="G20" s="58">
        <v>0</v>
      </c>
      <c r="H20" s="59"/>
      <c r="J20" s="67">
        <v>0</v>
      </c>
      <c r="L20" s="67">
        <v>0</v>
      </c>
    </row>
    <row r="21" spans="1:16" x14ac:dyDescent="0.35">
      <c r="A21" s="72" t="s">
        <v>61</v>
      </c>
      <c r="C21" s="53" t="s">
        <v>62</v>
      </c>
      <c r="D21" s="53" t="s">
        <v>63</v>
      </c>
      <c r="F21" s="57">
        <v>0</v>
      </c>
      <c r="G21" s="58">
        <v>0</v>
      </c>
      <c r="H21" s="59"/>
      <c r="J21" s="67">
        <v>0</v>
      </c>
      <c r="L21" s="67">
        <v>0</v>
      </c>
    </row>
    <row r="22" spans="1:16" x14ac:dyDescent="0.35">
      <c r="A22" s="72" t="s">
        <v>61</v>
      </c>
      <c r="C22" s="53" t="s">
        <v>62</v>
      </c>
      <c r="D22" s="53" t="s">
        <v>63</v>
      </c>
      <c r="F22" s="57">
        <v>0</v>
      </c>
      <c r="G22" s="58">
        <v>0</v>
      </c>
      <c r="H22" s="59"/>
      <c r="J22" s="67">
        <v>0</v>
      </c>
      <c r="L22" s="67">
        <v>0</v>
      </c>
    </row>
    <row r="23" spans="1:16" x14ac:dyDescent="0.35">
      <c r="A23" s="72" t="s">
        <v>61</v>
      </c>
      <c r="C23" s="53" t="s">
        <v>62</v>
      </c>
      <c r="D23" s="53" t="s">
        <v>63</v>
      </c>
      <c r="F23" s="57">
        <v>0</v>
      </c>
      <c r="G23" s="58">
        <v>0</v>
      </c>
      <c r="H23" s="59"/>
      <c r="J23" s="67">
        <v>0</v>
      </c>
      <c r="L23" s="67">
        <v>0</v>
      </c>
    </row>
    <row r="24" spans="1:16" x14ac:dyDescent="0.35">
      <c r="A24" s="72" t="s">
        <v>61</v>
      </c>
      <c r="C24" s="53" t="s">
        <v>64</v>
      </c>
      <c r="D24" s="53" t="s">
        <v>65</v>
      </c>
      <c r="F24" s="57">
        <v>0</v>
      </c>
      <c r="G24" s="58">
        <v>0</v>
      </c>
      <c r="H24" s="59"/>
      <c r="J24" s="67">
        <v>0</v>
      </c>
      <c r="L24" s="67">
        <v>0</v>
      </c>
    </row>
    <row r="25" spans="1:16" x14ac:dyDescent="0.35">
      <c r="H25" s="59"/>
      <c r="L25" s="50"/>
    </row>
    <row r="26" spans="1:16" x14ac:dyDescent="0.35">
      <c r="H26" s="71" t="s">
        <v>66</v>
      </c>
      <c r="J26" s="73">
        <f>J10-J17+J19+J23+J22+J21+J24+J20</f>
        <v>0</v>
      </c>
      <c r="K26" s="74"/>
      <c r="L26" s="73">
        <f>L10-L17+L19+L23+L22+L21+L24+L20</f>
        <v>0</v>
      </c>
      <c r="N26" s="50"/>
      <c r="O26" s="50"/>
      <c r="P26" s="50"/>
    </row>
    <row r="29" spans="1:16" x14ac:dyDescent="0.35">
      <c r="A29" s="75"/>
    </row>
    <row r="30" spans="1:16" x14ac:dyDescent="0.35">
      <c r="A30" s="76"/>
    </row>
    <row r="32" spans="1:16" x14ac:dyDescent="0.35">
      <c r="B32" s="77" t="s">
        <v>67</v>
      </c>
      <c r="C32" s="77"/>
      <c r="D32" s="77"/>
      <c r="E32" s="77"/>
      <c r="F32" s="77"/>
      <c r="G32" s="78"/>
    </row>
    <row r="33" spans="1:7" x14ac:dyDescent="0.35">
      <c r="A33" s="72" t="s">
        <v>68</v>
      </c>
      <c r="B33" s="77"/>
      <c r="C33" s="77"/>
      <c r="D33" s="77"/>
      <c r="E33" s="77"/>
      <c r="F33" s="77"/>
      <c r="G33" s="78"/>
    </row>
    <row r="34" spans="1:7" x14ac:dyDescent="0.35">
      <c r="B34" s="77" t="s">
        <v>69</v>
      </c>
      <c r="C34" s="77"/>
      <c r="D34" s="77"/>
      <c r="E34" s="77"/>
      <c r="F34" s="77"/>
      <c r="G34" s="78"/>
    </row>
    <row r="35" spans="1:7" x14ac:dyDescent="0.35">
      <c r="A35" s="72" t="s">
        <v>70</v>
      </c>
      <c r="B35" s="77"/>
      <c r="C35" s="77"/>
      <c r="D35" s="77"/>
      <c r="E35" s="77"/>
      <c r="F35" s="77"/>
      <c r="G35" s="78"/>
    </row>
    <row r="36" spans="1:7" x14ac:dyDescent="0.35">
      <c r="A36" s="72"/>
      <c r="B36" s="77" t="s">
        <v>71</v>
      </c>
      <c r="C36" s="77"/>
      <c r="D36" s="77"/>
      <c r="E36" s="77"/>
      <c r="F36" s="77"/>
      <c r="G36" s="78"/>
    </row>
    <row r="37" spans="1:7" x14ac:dyDescent="0.35">
      <c r="A37" s="72" t="s">
        <v>72</v>
      </c>
    </row>
  </sheetData>
  <pageMargins left="0.17" right="0.17" top="0.66" bottom="0.55000000000000004" header="0.24" footer="0.33"/>
  <pageSetup scale="74" fitToHeight="0" orientation="portrait" r:id="rId1"/>
  <headerFooter>
    <oddHeader xml:space="preserve">&amp;RKY PSC CN 2020-00378  
 Staff's Data Request Set 1 No. 5 Attachment C  
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2"/>
  <sheetViews>
    <sheetView view="pageLayout" zoomScaleNormal="100" workbookViewId="0">
      <selection activeCell="L3" sqref="L3"/>
    </sheetView>
  </sheetViews>
  <sheetFormatPr defaultColWidth="9.1796875" defaultRowHeight="12.5" x14ac:dyDescent="0.25"/>
  <cols>
    <col min="1" max="1" width="9.1796875" style="87" customWidth="1"/>
    <col min="2" max="2" width="10.1796875" style="81" customWidth="1"/>
    <col min="3" max="3" width="11.1796875" style="81" customWidth="1"/>
    <col min="4" max="4" width="9.26953125" style="81" customWidth="1"/>
    <col min="5" max="5" width="10.81640625" style="81" customWidth="1"/>
    <col min="6" max="6" width="13.26953125" style="81" customWidth="1"/>
    <col min="7" max="7" width="13" style="81" customWidth="1"/>
    <col min="8" max="8" width="10.1796875" style="81" customWidth="1"/>
    <col min="9" max="9" width="14.54296875" style="81" customWidth="1"/>
    <col min="10" max="13" width="10.1796875" style="81" customWidth="1"/>
    <col min="14" max="14" width="8.453125" style="81" hidden="1" customWidth="1"/>
    <col min="15" max="15" width="1.453125" style="82" customWidth="1"/>
    <col min="16" max="16" width="11" style="82" hidden="1" customWidth="1"/>
    <col min="17" max="17" width="11.453125" style="82" customWidth="1"/>
    <col min="18" max="16384" width="9.1796875" style="82"/>
  </cols>
  <sheetData>
    <row r="1" spans="1:16" ht="18" x14ac:dyDescent="0.4">
      <c r="A1" s="79" t="s">
        <v>73</v>
      </c>
      <c r="B1" s="80"/>
      <c r="C1" s="80"/>
      <c r="D1" s="80"/>
    </row>
    <row r="2" spans="1:16" ht="18" x14ac:dyDescent="0.4">
      <c r="A2" s="79"/>
      <c r="B2" s="80"/>
      <c r="C2" s="80"/>
      <c r="D2" s="80"/>
    </row>
    <row r="3" spans="1:16" ht="18" x14ac:dyDescent="0.4">
      <c r="A3" s="79" t="s">
        <v>74</v>
      </c>
      <c r="B3" s="83"/>
      <c r="C3" s="84">
        <f>'May 20 TCPS CALC'!C3</f>
        <v>43952</v>
      </c>
      <c r="E3" s="85"/>
      <c r="F3" s="85"/>
      <c r="G3" s="85"/>
      <c r="H3" s="85"/>
      <c r="I3" s="85"/>
      <c r="J3" s="85"/>
      <c r="K3" s="85"/>
      <c r="L3" s="85"/>
      <c r="M3" s="86"/>
    </row>
    <row r="5" spans="1:16" ht="13" thickBot="1" x14ac:dyDescent="0.3"/>
    <row r="6" spans="1:16" ht="13" x14ac:dyDescent="0.3">
      <c r="H6" s="206" t="s">
        <v>75</v>
      </c>
      <c r="I6" s="207"/>
      <c r="J6" s="207"/>
      <c r="K6" s="208" t="s">
        <v>76</v>
      </c>
      <c r="L6" s="209"/>
      <c r="M6" s="210"/>
      <c r="P6" s="81" t="s">
        <v>77</v>
      </c>
    </row>
    <row r="7" spans="1:16" ht="13" x14ac:dyDescent="0.3">
      <c r="A7" s="88" t="s">
        <v>78</v>
      </c>
      <c r="B7" s="211" t="s">
        <v>79</v>
      </c>
      <c r="C7" s="212"/>
      <c r="D7" s="213"/>
      <c r="E7" s="214" t="s">
        <v>80</v>
      </c>
      <c r="F7" s="215"/>
      <c r="G7" s="216"/>
      <c r="H7" s="212" t="s">
        <v>81</v>
      </c>
      <c r="I7" s="212"/>
      <c r="J7" s="212"/>
      <c r="K7" s="217" t="s">
        <v>82</v>
      </c>
      <c r="L7" s="218"/>
      <c r="M7" s="219"/>
      <c r="P7" s="81" t="s">
        <v>83</v>
      </c>
    </row>
    <row r="8" spans="1:16" ht="13" x14ac:dyDescent="0.3">
      <c r="A8" s="89" t="s">
        <v>84</v>
      </c>
      <c r="B8" s="90" t="s">
        <v>85</v>
      </c>
      <c r="C8" s="91" t="s">
        <v>86</v>
      </c>
      <c r="D8" s="92" t="s">
        <v>87</v>
      </c>
      <c r="E8" s="93" t="s">
        <v>85</v>
      </c>
      <c r="F8" s="94" t="s">
        <v>86</v>
      </c>
      <c r="G8" s="95" t="s">
        <v>87</v>
      </c>
      <c r="H8" s="91" t="s">
        <v>85</v>
      </c>
      <c r="I8" s="91" t="s">
        <v>86</v>
      </c>
      <c r="J8" s="91" t="s">
        <v>87</v>
      </c>
      <c r="K8" s="96" t="s">
        <v>85</v>
      </c>
      <c r="L8" s="97" t="s">
        <v>86</v>
      </c>
      <c r="M8" s="98" t="s">
        <v>87</v>
      </c>
      <c r="N8" s="99" t="s">
        <v>84</v>
      </c>
      <c r="P8" s="100" t="s">
        <v>88</v>
      </c>
    </row>
    <row r="9" spans="1:16" ht="13" x14ac:dyDescent="0.3">
      <c r="A9" s="101"/>
      <c r="B9" s="102"/>
      <c r="C9" s="103"/>
      <c r="D9" s="104"/>
      <c r="E9" s="105"/>
      <c r="F9" s="106"/>
      <c r="G9" s="107"/>
      <c r="H9" s="108"/>
      <c r="I9" s="108" t="s">
        <v>89</v>
      </c>
      <c r="J9" s="109"/>
      <c r="K9" s="110"/>
      <c r="L9" s="111"/>
      <c r="M9" s="112"/>
    </row>
    <row r="10" spans="1:16" ht="13" x14ac:dyDescent="0.3">
      <c r="A10" s="87">
        <f>C3</f>
        <v>43952</v>
      </c>
      <c r="B10" s="113">
        <v>1.59</v>
      </c>
      <c r="C10" s="114">
        <v>1.65</v>
      </c>
      <c r="D10" s="115">
        <v>1.73</v>
      </c>
      <c r="E10" s="116">
        <v>1.5149999999999999</v>
      </c>
      <c r="F10" s="117">
        <v>1.5649999999999999</v>
      </c>
      <c r="G10" s="118">
        <v>1.64</v>
      </c>
      <c r="H10" s="113">
        <v>1.48</v>
      </c>
      <c r="I10" s="114">
        <v>1.54</v>
      </c>
      <c r="J10" s="115">
        <v>1.66</v>
      </c>
      <c r="K10" s="119">
        <f t="shared" ref="K10:M37" si="0">AVERAGE(B10,E10,H10)</f>
        <v>1.5283333333333333</v>
      </c>
      <c r="L10" s="120">
        <f t="shared" si="0"/>
        <v>1.585</v>
      </c>
      <c r="M10" s="121">
        <f t="shared" si="0"/>
        <v>1.6766666666666667</v>
      </c>
      <c r="N10" s="87">
        <f t="shared" ref="N10:N40" si="1">A10</f>
        <v>43952</v>
      </c>
      <c r="P10" s="122">
        <f>H10-E10</f>
        <v>-3.499999999999992E-2</v>
      </c>
    </row>
    <row r="11" spans="1:16" x14ac:dyDescent="0.25">
      <c r="A11" s="87">
        <f>A10+1</f>
        <v>43953</v>
      </c>
      <c r="B11" s="123">
        <f t="shared" ref="B11:B40" si="2">$B$10</f>
        <v>1.59</v>
      </c>
      <c r="C11" s="124">
        <f>$C$10</f>
        <v>1.65</v>
      </c>
      <c r="D11" s="125">
        <f>$D$10</f>
        <v>1.73</v>
      </c>
      <c r="E11" s="116">
        <v>1.375</v>
      </c>
      <c r="F11" s="117">
        <v>1.46</v>
      </c>
      <c r="G11" s="118">
        <v>1.61</v>
      </c>
      <c r="H11" s="126">
        <f t="shared" ref="H11:J13" si="3">H10</f>
        <v>1.48</v>
      </c>
      <c r="I11" s="126">
        <f t="shared" si="3"/>
        <v>1.54</v>
      </c>
      <c r="J11" s="126">
        <f t="shared" si="3"/>
        <v>1.66</v>
      </c>
      <c r="K11" s="119">
        <f t="shared" si="0"/>
        <v>1.4816666666666667</v>
      </c>
      <c r="L11" s="120">
        <f t="shared" si="0"/>
        <v>1.55</v>
      </c>
      <c r="M11" s="121">
        <f t="shared" si="0"/>
        <v>1.6666666666666667</v>
      </c>
      <c r="N11" s="127">
        <f t="shared" si="1"/>
        <v>43953</v>
      </c>
      <c r="P11" s="122">
        <f t="shared" ref="P11:P40" si="4">H11-E11</f>
        <v>0.10499999999999998</v>
      </c>
    </row>
    <row r="12" spans="1:16" x14ac:dyDescent="0.25">
      <c r="A12" s="87">
        <f t="shared" ref="A12:A40" si="5">A11+1</f>
        <v>43954</v>
      </c>
      <c r="B12" s="123">
        <f t="shared" si="2"/>
        <v>1.59</v>
      </c>
      <c r="C12" s="124">
        <f t="shared" ref="C12:C40" si="6">$C$10</f>
        <v>1.65</v>
      </c>
      <c r="D12" s="125">
        <f t="shared" ref="D12:D40" si="7">$D$10</f>
        <v>1.73</v>
      </c>
      <c r="E12" s="116">
        <v>1.375</v>
      </c>
      <c r="F12" s="117">
        <v>1.46</v>
      </c>
      <c r="G12" s="118">
        <v>1.61</v>
      </c>
      <c r="H12" s="126">
        <f t="shared" si="3"/>
        <v>1.48</v>
      </c>
      <c r="I12" s="126">
        <f t="shared" si="3"/>
        <v>1.54</v>
      </c>
      <c r="J12" s="126">
        <f t="shared" si="3"/>
        <v>1.66</v>
      </c>
      <c r="K12" s="119">
        <f t="shared" si="0"/>
        <v>1.4816666666666667</v>
      </c>
      <c r="L12" s="120">
        <f t="shared" si="0"/>
        <v>1.55</v>
      </c>
      <c r="M12" s="121">
        <f t="shared" si="0"/>
        <v>1.6666666666666667</v>
      </c>
      <c r="N12" s="87">
        <f t="shared" si="1"/>
        <v>43954</v>
      </c>
      <c r="P12" s="122">
        <f t="shared" si="4"/>
        <v>0.10499999999999998</v>
      </c>
    </row>
    <row r="13" spans="1:16" x14ac:dyDescent="0.25">
      <c r="A13" s="87">
        <f t="shared" si="5"/>
        <v>43955</v>
      </c>
      <c r="B13" s="123">
        <f t="shared" si="2"/>
        <v>1.59</v>
      </c>
      <c r="C13" s="124">
        <f t="shared" si="6"/>
        <v>1.65</v>
      </c>
      <c r="D13" s="125">
        <f t="shared" si="7"/>
        <v>1.73</v>
      </c>
      <c r="E13" s="116">
        <v>1.375</v>
      </c>
      <c r="F13" s="117">
        <v>1.46</v>
      </c>
      <c r="G13" s="118">
        <v>1.61</v>
      </c>
      <c r="H13" s="126">
        <f t="shared" si="3"/>
        <v>1.48</v>
      </c>
      <c r="I13" s="126">
        <f t="shared" si="3"/>
        <v>1.54</v>
      </c>
      <c r="J13" s="126">
        <f t="shared" si="3"/>
        <v>1.66</v>
      </c>
      <c r="K13" s="119">
        <f t="shared" si="0"/>
        <v>1.4816666666666667</v>
      </c>
      <c r="L13" s="120">
        <f t="shared" si="0"/>
        <v>1.55</v>
      </c>
      <c r="M13" s="121">
        <f t="shared" si="0"/>
        <v>1.6666666666666667</v>
      </c>
      <c r="N13" s="87">
        <f t="shared" si="1"/>
        <v>43955</v>
      </c>
      <c r="P13" s="122">
        <f t="shared" si="4"/>
        <v>0.10499999999999998</v>
      </c>
    </row>
    <row r="14" spans="1:16" s="134" customFormat="1" ht="13" x14ac:dyDescent="0.3">
      <c r="A14" s="129">
        <f t="shared" si="5"/>
        <v>43956</v>
      </c>
      <c r="B14" s="123">
        <f t="shared" si="2"/>
        <v>1.59</v>
      </c>
      <c r="C14" s="124">
        <f t="shared" si="6"/>
        <v>1.65</v>
      </c>
      <c r="D14" s="125">
        <f t="shared" si="7"/>
        <v>1.73</v>
      </c>
      <c r="E14" s="116">
        <v>1.615</v>
      </c>
      <c r="F14" s="117">
        <v>1.65</v>
      </c>
      <c r="G14" s="118">
        <v>1.75</v>
      </c>
      <c r="H14" s="128">
        <v>1.65</v>
      </c>
      <c r="I14" s="128">
        <v>1.69</v>
      </c>
      <c r="J14" s="128">
        <v>1.78</v>
      </c>
      <c r="K14" s="130">
        <f t="shared" si="0"/>
        <v>1.6183333333333334</v>
      </c>
      <c r="L14" s="131">
        <f t="shared" si="0"/>
        <v>1.6633333333333333</v>
      </c>
      <c r="M14" s="132">
        <f t="shared" si="0"/>
        <v>1.7533333333333332</v>
      </c>
      <c r="N14" s="133">
        <f t="shared" si="1"/>
        <v>43956</v>
      </c>
      <c r="P14" s="135">
        <f t="shared" si="4"/>
        <v>3.499999999999992E-2</v>
      </c>
    </row>
    <row r="15" spans="1:16" s="134" customFormat="1" x14ac:dyDescent="0.25">
      <c r="A15" s="129">
        <f t="shared" si="5"/>
        <v>43957</v>
      </c>
      <c r="B15" s="123">
        <f t="shared" si="2"/>
        <v>1.59</v>
      </c>
      <c r="C15" s="124">
        <f t="shared" si="6"/>
        <v>1.65</v>
      </c>
      <c r="D15" s="125">
        <f t="shared" si="7"/>
        <v>1.73</v>
      </c>
      <c r="E15" s="116">
        <v>1.7849999999999999</v>
      </c>
      <c r="F15" s="117">
        <v>1.885</v>
      </c>
      <c r="G15" s="118">
        <v>1.92</v>
      </c>
      <c r="H15" s="126">
        <f t="shared" ref="H15:J20" si="8">H14</f>
        <v>1.65</v>
      </c>
      <c r="I15" s="126">
        <f t="shared" si="8"/>
        <v>1.69</v>
      </c>
      <c r="J15" s="126">
        <f t="shared" si="8"/>
        <v>1.78</v>
      </c>
      <c r="K15" s="130">
        <f t="shared" si="0"/>
        <v>1.675</v>
      </c>
      <c r="L15" s="131">
        <f t="shared" si="0"/>
        <v>1.7416666666666665</v>
      </c>
      <c r="M15" s="132">
        <f t="shared" si="0"/>
        <v>1.8099999999999998</v>
      </c>
      <c r="N15" s="133">
        <f t="shared" si="1"/>
        <v>43957</v>
      </c>
      <c r="P15" s="122">
        <f t="shared" si="4"/>
        <v>-0.13500000000000001</v>
      </c>
    </row>
    <row r="16" spans="1:16" s="134" customFormat="1" ht="13" x14ac:dyDescent="0.3">
      <c r="A16" s="129">
        <f t="shared" si="5"/>
        <v>43958</v>
      </c>
      <c r="B16" s="123">
        <f t="shared" si="2"/>
        <v>1.59</v>
      </c>
      <c r="C16" s="124">
        <f t="shared" si="6"/>
        <v>1.65</v>
      </c>
      <c r="D16" s="125">
        <f t="shared" si="7"/>
        <v>1.73</v>
      </c>
      <c r="E16" s="116">
        <v>1.68</v>
      </c>
      <c r="F16" s="117">
        <v>1.77</v>
      </c>
      <c r="G16" s="118">
        <v>1.84</v>
      </c>
      <c r="H16" s="126">
        <f t="shared" si="8"/>
        <v>1.65</v>
      </c>
      <c r="I16" s="126">
        <f t="shared" si="8"/>
        <v>1.69</v>
      </c>
      <c r="J16" s="126">
        <f t="shared" si="8"/>
        <v>1.78</v>
      </c>
      <c r="K16" s="130">
        <f t="shared" si="0"/>
        <v>1.64</v>
      </c>
      <c r="L16" s="131">
        <f t="shared" si="0"/>
        <v>1.7033333333333331</v>
      </c>
      <c r="M16" s="132">
        <f t="shared" si="0"/>
        <v>1.7833333333333334</v>
      </c>
      <c r="N16" s="136">
        <f t="shared" si="1"/>
        <v>43958</v>
      </c>
      <c r="P16" s="122">
        <f t="shared" si="4"/>
        <v>-3.0000000000000027E-2</v>
      </c>
    </row>
    <row r="17" spans="1:16" s="134" customFormat="1" x14ac:dyDescent="0.25">
      <c r="A17" s="129">
        <f t="shared" si="5"/>
        <v>43959</v>
      </c>
      <c r="B17" s="123">
        <f t="shared" si="2"/>
        <v>1.59</v>
      </c>
      <c r="C17" s="124">
        <f t="shared" si="6"/>
        <v>1.65</v>
      </c>
      <c r="D17" s="125">
        <f t="shared" si="7"/>
        <v>1.73</v>
      </c>
      <c r="E17" s="116">
        <v>1.63</v>
      </c>
      <c r="F17" s="117">
        <v>1.7250000000000001</v>
      </c>
      <c r="G17" s="118">
        <v>1.77</v>
      </c>
      <c r="H17" s="126">
        <f t="shared" si="8"/>
        <v>1.65</v>
      </c>
      <c r="I17" s="126">
        <f t="shared" si="8"/>
        <v>1.69</v>
      </c>
      <c r="J17" s="126">
        <f t="shared" si="8"/>
        <v>1.78</v>
      </c>
      <c r="K17" s="130">
        <f t="shared" si="0"/>
        <v>1.6233333333333331</v>
      </c>
      <c r="L17" s="131">
        <f t="shared" si="0"/>
        <v>1.6883333333333332</v>
      </c>
      <c r="M17" s="132">
        <f t="shared" si="0"/>
        <v>1.76</v>
      </c>
      <c r="N17" s="133">
        <f t="shared" si="1"/>
        <v>43959</v>
      </c>
      <c r="P17" s="122">
        <f t="shared" si="4"/>
        <v>2.0000000000000018E-2</v>
      </c>
    </row>
    <row r="18" spans="1:16" s="134" customFormat="1" x14ac:dyDescent="0.25">
      <c r="A18" s="129">
        <f t="shared" si="5"/>
        <v>43960</v>
      </c>
      <c r="B18" s="123">
        <f t="shared" si="2"/>
        <v>1.59</v>
      </c>
      <c r="C18" s="124">
        <f t="shared" si="6"/>
        <v>1.65</v>
      </c>
      <c r="D18" s="125">
        <f t="shared" si="7"/>
        <v>1.73</v>
      </c>
      <c r="E18" s="116">
        <v>1.54</v>
      </c>
      <c r="F18" s="117">
        <v>1.625</v>
      </c>
      <c r="G18" s="118">
        <v>1.67</v>
      </c>
      <c r="H18" s="126">
        <f t="shared" si="8"/>
        <v>1.65</v>
      </c>
      <c r="I18" s="126">
        <f t="shared" si="8"/>
        <v>1.69</v>
      </c>
      <c r="J18" s="126">
        <f t="shared" si="8"/>
        <v>1.78</v>
      </c>
      <c r="K18" s="130">
        <f t="shared" si="0"/>
        <v>1.593333333333333</v>
      </c>
      <c r="L18" s="131">
        <f t="shared" si="0"/>
        <v>1.655</v>
      </c>
      <c r="M18" s="132">
        <f t="shared" si="0"/>
        <v>1.7266666666666666</v>
      </c>
      <c r="N18" s="133">
        <f t="shared" si="1"/>
        <v>43960</v>
      </c>
      <c r="P18" s="122">
        <f t="shared" si="4"/>
        <v>0.10999999999999988</v>
      </c>
    </row>
    <row r="19" spans="1:16" s="134" customFormat="1" ht="12" customHeight="1" x14ac:dyDescent="0.25">
      <c r="A19" s="129">
        <f t="shared" si="5"/>
        <v>43961</v>
      </c>
      <c r="B19" s="123">
        <f t="shared" si="2"/>
        <v>1.59</v>
      </c>
      <c r="C19" s="124">
        <f t="shared" si="6"/>
        <v>1.65</v>
      </c>
      <c r="D19" s="125">
        <f t="shared" si="7"/>
        <v>1.73</v>
      </c>
      <c r="E19" s="116">
        <v>1.54</v>
      </c>
      <c r="F19" s="117">
        <v>1.625</v>
      </c>
      <c r="G19" s="118">
        <v>1.67</v>
      </c>
      <c r="H19" s="126">
        <f t="shared" si="8"/>
        <v>1.65</v>
      </c>
      <c r="I19" s="126">
        <f t="shared" si="8"/>
        <v>1.69</v>
      </c>
      <c r="J19" s="126">
        <f t="shared" si="8"/>
        <v>1.78</v>
      </c>
      <c r="K19" s="130">
        <f t="shared" si="0"/>
        <v>1.593333333333333</v>
      </c>
      <c r="L19" s="131">
        <f t="shared" si="0"/>
        <v>1.655</v>
      </c>
      <c r="M19" s="132">
        <f t="shared" si="0"/>
        <v>1.7266666666666666</v>
      </c>
      <c r="N19" s="133">
        <f t="shared" si="1"/>
        <v>43961</v>
      </c>
      <c r="P19" s="122">
        <f t="shared" si="4"/>
        <v>0.10999999999999988</v>
      </c>
    </row>
    <row r="20" spans="1:16" s="134" customFormat="1" x14ac:dyDescent="0.25">
      <c r="A20" s="129">
        <f t="shared" si="5"/>
        <v>43962</v>
      </c>
      <c r="B20" s="123">
        <f t="shared" si="2"/>
        <v>1.59</v>
      </c>
      <c r="C20" s="124">
        <f t="shared" si="6"/>
        <v>1.65</v>
      </c>
      <c r="D20" s="125">
        <f t="shared" si="7"/>
        <v>1.73</v>
      </c>
      <c r="E20" s="116">
        <v>1.54</v>
      </c>
      <c r="F20" s="117">
        <v>1.625</v>
      </c>
      <c r="G20" s="118">
        <v>1.67</v>
      </c>
      <c r="H20" s="126">
        <f t="shared" si="8"/>
        <v>1.65</v>
      </c>
      <c r="I20" s="126">
        <f t="shared" si="8"/>
        <v>1.69</v>
      </c>
      <c r="J20" s="126">
        <f t="shared" si="8"/>
        <v>1.78</v>
      </c>
      <c r="K20" s="130">
        <f t="shared" si="0"/>
        <v>1.593333333333333</v>
      </c>
      <c r="L20" s="131">
        <f t="shared" si="0"/>
        <v>1.655</v>
      </c>
      <c r="M20" s="132">
        <f t="shared" si="0"/>
        <v>1.7266666666666666</v>
      </c>
      <c r="N20" s="133">
        <f t="shared" si="1"/>
        <v>43962</v>
      </c>
      <c r="P20" s="135">
        <f>H20-E20</f>
        <v>0.10999999999999988</v>
      </c>
    </row>
    <row r="21" spans="1:16" s="134" customFormat="1" ht="13" x14ac:dyDescent="0.3">
      <c r="A21" s="129">
        <f t="shared" si="5"/>
        <v>43963</v>
      </c>
      <c r="B21" s="123">
        <f t="shared" si="2"/>
        <v>1.59</v>
      </c>
      <c r="C21" s="124">
        <f t="shared" si="6"/>
        <v>1.65</v>
      </c>
      <c r="D21" s="125">
        <f t="shared" si="7"/>
        <v>1.73</v>
      </c>
      <c r="E21" s="116">
        <v>1.57</v>
      </c>
      <c r="F21" s="117">
        <v>1.605</v>
      </c>
      <c r="G21" s="118">
        <v>1.68</v>
      </c>
      <c r="H21" s="128">
        <v>1.38</v>
      </c>
      <c r="I21" s="128">
        <v>1.5</v>
      </c>
      <c r="J21" s="128">
        <v>1.58</v>
      </c>
      <c r="K21" s="130">
        <f t="shared" si="0"/>
        <v>1.5133333333333334</v>
      </c>
      <c r="L21" s="131">
        <f t="shared" si="0"/>
        <v>1.585</v>
      </c>
      <c r="M21" s="132">
        <f t="shared" si="0"/>
        <v>1.6633333333333333</v>
      </c>
      <c r="N21" s="133">
        <f t="shared" si="1"/>
        <v>43963</v>
      </c>
      <c r="P21" s="135">
        <f t="shared" si="4"/>
        <v>-0.19000000000000017</v>
      </c>
    </row>
    <row r="22" spans="1:16" s="134" customFormat="1" x14ac:dyDescent="0.25">
      <c r="A22" s="129">
        <f t="shared" si="5"/>
        <v>43964</v>
      </c>
      <c r="B22" s="123">
        <f t="shared" si="2"/>
        <v>1.59</v>
      </c>
      <c r="C22" s="124">
        <f t="shared" si="6"/>
        <v>1.65</v>
      </c>
      <c r="D22" s="125">
        <f t="shared" si="7"/>
        <v>1.73</v>
      </c>
      <c r="E22" s="116">
        <v>1.5</v>
      </c>
      <c r="F22" s="117">
        <v>1.53</v>
      </c>
      <c r="G22" s="118">
        <v>1.605</v>
      </c>
      <c r="H22" s="126">
        <f t="shared" ref="H22:J27" si="9">H21</f>
        <v>1.38</v>
      </c>
      <c r="I22" s="126">
        <f t="shared" si="9"/>
        <v>1.5</v>
      </c>
      <c r="J22" s="126">
        <f t="shared" si="9"/>
        <v>1.58</v>
      </c>
      <c r="K22" s="130">
        <f t="shared" si="0"/>
        <v>1.49</v>
      </c>
      <c r="L22" s="131">
        <f t="shared" si="0"/>
        <v>1.5599999999999998</v>
      </c>
      <c r="M22" s="132">
        <f t="shared" si="0"/>
        <v>1.6383333333333334</v>
      </c>
      <c r="N22" s="133">
        <f t="shared" si="1"/>
        <v>43964</v>
      </c>
      <c r="P22" s="122">
        <f t="shared" si="4"/>
        <v>-0.12000000000000011</v>
      </c>
    </row>
    <row r="23" spans="1:16" s="134" customFormat="1" ht="13" x14ac:dyDescent="0.3">
      <c r="A23" s="129">
        <f t="shared" si="5"/>
        <v>43965</v>
      </c>
      <c r="B23" s="123">
        <f t="shared" si="2"/>
        <v>1.59</v>
      </c>
      <c r="C23" s="124">
        <f t="shared" si="6"/>
        <v>1.65</v>
      </c>
      <c r="D23" s="125">
        <f t="shared" si="7"/>
        <v>1.73</v>
      </c>
      <c r="E23" s="116">
        <v>1.325</v>
      </c>
      <c r="F23" s="117">
        <v>1.42</v>
      </c>
      <c r="G23" s="118">
        <v>1.5549999999999999</v>
      </c>
      <c r="H23" s="126">
        <f t="shared" si="9"/>
        <v>1.38</v>
      </c>
      <c r="I23" s="126">
        <f t="shared" si="9"/>
        <v>1.5</v>
      </c>
      <c r="J23" s="126">
        <f t="shared" si="9"/>
        <v>1.58</v>
      </c>
      <c r="K23" s="130">
        <f t="shared" si="0"/>
        <v>1.4316666666666666</v>
      </c>
      <c r="L23" s="131">
        <f t="shared" si="0"/>
        <v>1.5233333333333334</v>
      </c>
      <c r="M23" s="132">
        <f t="shared" si="0"/>
        <v>1.6216666666666668</v>
      </c>
      <c r="N23" s="136">
        <f t="shared" si="1"/>
        <v>43965</v>
      </c>
      <c r="P23" s="122">
        <f t="shared" si="4"/>
        <v>5.4999999999999938E-2</v>
      </c>
    </row>
    <row r="24" spans="1:16" s="134" customFormat="1" x14ac:dyDescent="0.25">
      <c r="A24" s="129">
        <f t="shared" si="5"/>
        <v>43966</v>
      </c>
      <c r="B24" s="123">
        <f t="shared" si="2"/>
        <v>1.59</v>
      </c>
      <c r="C24" s="124">
        <f t="shared" si="6"/>
        <v>1.65</v>
      </c>
      <c r="D24" s="125">
        <f t="shared" si="7"/>
        <v>1.73</v>
      </c>
      <c r="E24" s="116">
        <v>1.3</v>
      </c>
      <c r="F24" s="117">
        <v>1.44</v>
      </c>
      <c r="G24" s="118">
        <v>1.5249999999999999</v>
      </c>
      <c r="H24" s="126">
        <f t="shared" si="9"/>
        <v>1.38</v>
      </c>
      <c r="I24" s="126">
        <f t="shared" si="9"/>
        <v>1.5</v>
      </c>
      <c r="J24" s="126">
        <f t="shared" si="9"/>
        <v>1.58</v>
      </c>
      <c r="K24" s="130">
        <f>AVERAGE(B24,E24,H24)</f>
        <v>1.4233333333333331</v>
      </c>
      <c r="L24" s="131">
        <f t="shared" si="0"/>
        <v>1.53</v>
      </c>
      <c r="M24" s="132">
        <f t="shared" si="0"/>
        <v>1.6116666666666666</v>
      </c>
      <c r="N24" s="133">
        <f t="shared" si="1"/>
        <v>43966</v>
      </c>
      <c r="P24" s="122">
        <f t="shared" si="4"/>
        <v>7.9999999999999849E-2</v>
      </c>
    </row>
    <row r="25" spans="1:16" s="134" customFormat="1" x14ac:dyDescent="0.25">
      <c r="A25" s="129">
        <f t="shared" si="5"/>
        <v>43967</v>
      </c>
      <c r="B25" s="123">
        <f t="shared" si="2"/>
        <v>1.59</v>
      </c>
      <c r="C25" s="124">
        <f t="shared" si="6"/>
        <v>1.65</v>
      </c>
      <c r="D25" s="125">
        <f t="shared" si="7"/>
        <v>1.73</v>
      </c>
      <c r="E25" s="116">
        <v>1.365</v>
      </c>
      <c r="F25" s="117">
        <v>1.49</v>
      </c>
      <c r="G25" s="118">
        <v>1.585</v>
      </c>
      <c r="H25" s="126">
        <f t="shared" si="9"/>
        <v>1.38</v>
      </c>
      <c r="I25" s="126">
        <f t="shared" si="9"/>
        <v>1.5</v>
      </c>
      <c r="J25" s="126">
        <f t="shared" si="9"/>
        <v>1.58</v>
      </c>
      <c r="K25" s="130">
        <f t="shared" si="0"/>
        <v>1.4450000000000001</v>
      </c>
      <c r="L25" s="131">
        <f t="shared" si="0"/>
        <v>1.5466666666666666</v>
      </c>
      <c r="M25" s="132">
        <f t="shared" si="0"/>
        <v>1.6316666666666666</v>
      </c>
      <c r="N25" s="133">
        <f t="shared" si="1"/>
        <v>43967</v>
      </c>
      <c r="P25" s="135">
        <f t="shared" si="4"/>
        <v>1.4999999999999902E-2</v>
      </c>
    </row>
    <row r="26" spans="1:16" s="134" customFormat="1" x14ac:dyDescent="0.25">
      <c r="A26" s="129">
        <f t="shared" si="5"/>
        <v>43968</v>
      </c>
      <c r="B26" s="123">
        <f t="shared" si="2"/>
        <v>1.59</v>
      </c>
      <c r="C26" s="124">
        <f t="shared" si="6"/>
        <v>1.65</v>
      </c>
      <c r="D26" s="125">
        <f t="shared" si="7"/>
        <v>1.73</v>
      </c>
      <c r="E26" s="116">
        <v>1.365</v>
      </c>
      <c r="F26" s="117">
        <v>1.49</v>
      </c>
      <c r="G26" s="118">
        <v>1.585</v>
      </c>
      <c r="H26" s="126">
        <f t="shared" si="9"/>
        <v>1.38</v>
      </c>
      <c r="I26" s="126">
        <f t="shared" si="9"/>
        <v>1.5</v>
      </c>
      <c r="J26" s="126">
        <f t="shared" si="9"/>
        <v>1.58</v>
      </c>
      <c r="K26" s="130">
        <f t="shared" si="0"/>
        <v>1.4450000000000001</v>
      </c>
      <c r="L26" s="131">
        <f t="shared" si="0"/>
        <v>1.5466666666666666</v>
      </c>
      <c r="M26" s="132">
        <f t="shared" si="0"/>
        <v>1.6316666666666666</v>
      </c>
      <c r="N26" s="133">
        <f t="shared" si="1"/>
        <v>43968</v>
      </c>
      <c r="P26" s="122">
        <f t="shared" si="4"/>
        <v>1.4999999999999902E-2</v>
      </c>
    </row>
    <row r="27" spans="1:16" s="134" customFormat="1" x14ac:dyDescent="0.25">
      <c r="A27" s="129">
        <f t="shared" si="5"/>
        <v>43969</v>
      </c>
      <c r="B27" s="123">
        <f t="shared" si="2"/>
        <v>1.59</v>
      </c>
      <c r="C27" s="124">
        <f t="shared" si="6"/>
        <v>1.65</v>
      </c>
      <c r="D27" s="125">
        <f t="shared" si="7"/>
        <v>1.73</v>
      </c>
      <c r="E27" s="116">
        <v>1.365</v>
      </c>
      <c r="F27" s="117">
        <v>1.49</v>
      </c>
      <c r="G27" s="118">
        <v>1.585</v>
      </c>
      <c r="H27" s="126">
        <f t="shared" si="9"/>
        <v>1.38</v>
      </c>
      <c r="I27" s="126">
        <f t="shared" si="9"/>
        <v>1.5</v>
      </c>
      <c r="J27" s="126">
        <f t="shared" si="9"/>
        <v>1.58</v>
      </c>
      <c r="K27" s="130">
        <f t="shared" si="0"/>
        <v>1.4450000000000001</v>
      </c>
      <c r="L27" s="131">
        <f t="shared" si="0"/>
        <v>1.5466666666666666</v>
      </c>
      <c r="M27" s="132">
        <f t="shared" si="0"/>
        <v>1.6316666666666666</v>
      </c>
      <c r="N27" s="133">
        <f t="shared" si="1"/>
        <v>43969</v>
      </c>
      <c r="P27" s="135">
        <f t="shared" si="4"/>
        <v>1.4999999999999902E-2</v>
      </c>
    </row>
    <row r="28" spans="1:16" s="134" customFormat="1" ht="13" x14ac:dyDescent="0.3">
      <c r="A28" s="129">
        <f t="shared" si="5"/>
        <v>43970</v>
      </c>
      <c r="B28" s="123">
        <f t="shared" si="2"/>
        <v>1.59</v>
      </c>
      <c r="C28" s="124">
        <f t="shared" si="6"/>
        <v>1.65</v>
      </c>
      <c r="D28" s="125">
        <f t="shared" si="7"/>
        <v>1.73</v>
      </c>
      <c r="E28" s="116">
        <v>1.595</v>
      </c>
      <c r="F28" s="117">
        <v>1.62</v>
      </c>
      <c r="G28" s="118">
        <v>1.6850000000000001</v>
      </c>
      <c r="H28" s="128">
        <v>1.54</v>
      </c>
      <c r="I28" s="128">
        <v>1.62</v>
      </c>
      <c r="J28" s="128">
        <v>1.69</v>
      </c>
      <c r="K28" s="130">
        <f t="shared" si="0"/>
        <v>1.575</v>
      </c>
      <c r="L28" s="131">
        <f t="shared" si="0"/>
        <v>1.6300000000000001</v>
      </c>
      <c r="M28" s="132">
        <f t="shared" si="0"/>
        <v>1.7016666666666669</v>
      </c>
      <c r="N28" s="133">
        <f t="shared" si="1"/>
        <v>43970</v>
      </c>
      <c r="P28" s="135">
        <f t="shared" si="4"/>
        <v>-5.4999999999999938E-2</v>
      </c>
    </row>
    <row r="29" spans="1:16" s="134" customFormat="1" x14ac:dyDescent="0.25">
      <c r="A29" s="129">
        <f t="shared" si="5"/>
        <v>43971</v>
      </c>
      <c r="B29" s="123">
        <f t="shared" si="2"/>
        <v>1.59</v>
      </c>
      <c r="C29" s="124">
        <f t="shared" si="6"/>
        <v>1.65</v>
      </c>
      <c r="D29" s="125">
        <f t="shared" si="7"/>
        <v>1.73</v>
      </c>
      <c r="E29" s="116">
        <v>1.67</v>
      </c>
      <c r="F29" s="117">
        <v>1.7</v>
      </c>
      <c r="G29" s="118">
        <v>1.7450000000000001</v>
      </c>
      <c r="H29" s="126">
        <f t="shared" ref="H29:J35" si="10">H28</f>
        <v>1.54</v>
      </c>
      <c r="I29" s="126">
        <f t="shared" si="10"/>
        <v>1.62</v>
      </c>
      <c r="J29" s="126">
        <f t="shared" si="10"/>
        <v>1.69</v>
      </c>
      <c r="K29" s="130">
        <f t="shared" si="0"/>
        <v>1.5999999999999999</v>
      </c>
      <c r="L29" s="131">
        <f t="shared" si="0"/>
        <v>1.6566666666666665</v>
      </c>
      <c r="M29" s="132">
        <f t="shared" si="0"/>
        <v>1.7216666666666667</v>
      </c>
      <c r="N29" s="133">
        <f t="shared" si="1"/>
        <v>43971</v>
      </c>
      <c r="P29" s="122">
        <f t="shared" si="4"/>
        <v>-0.12999999999999989</v>
      </c>
    </row>
    <row r="30" spans="1:16" s="134" customFormat="1" ht="13" x14ac:dyDescent="0.3">
      <c r="A30" s="129">
        <f t="shared" si="5"/>
        <v>43972</v>
      </c>
      <c r="B30" s="123">
        <f t="shared" si="2"/>
        <v>1.59</v>
      </c>
      <c r="C30" s="124">
        <f t="shared" si="6"/>
        <v>1.65</v>
      </c>
      <c r="D30" s="125">
        <f t="shared" si="7"/>
        <v>1.73</v>
      </c>
      <c r="E30" s="116">
        <v>1.675</v>
      </c>
      <c r="F30" s="117">
        <v>1.7050000000000001</v>
      </c>
      <c r="G30" s="118">
        <v>1.7749999999999999</v>
      </c>
      <c r="H30" s="126">
        <f t="shared" si="10"/>
        <v>1.54</v>
      </c>
      <c r="I30" s="126">
        <f t="shared" si="10"/>
        <v>1.62</v>
      </c>
      <c r="J30" s="126">
        <f t="shared" si="10"/>
        <v>1.69</v>
      </c>
      <c r="K30" s="130">
        <f t="shared" si="0"/>
        <v>1.6016666666666666</v>
      </c>
      <c r="L30" s="131">
        <f t="shared" si="0"/>
        <v>1.6583333333333332</v>
      </c>
      <c r="M30" s="132">
        <f t="shared" si="0"/>
        <v>1.7316666666666667</v>
      </c>
      <c r="N30" s="136">
        <f t="shared" si="1"/>
        <v>43972</v>
      </c>
      <c r="P30" s="122">
        <f t="shared" si="4"/>
        <v>-0.13500000000000001</v>
      </c>
    </row>
    <row r="31" spans="1:16" s="134" customFormat="1" x14ac:dyDescent="0.25">
      <c r="A31" s="129">
        <f t="shared" si="5"/>
        <v>43973</v>
      </c>
      <c r="B31" s="123">
        <f t="shared" si="2"/>
        <v>1.59</v>
      </c>
      <c r="C31" s="124">
        <f t="shared" si="6"/>
        <v>1.65</v>
      </c>
      <c r="D31" s="125">
        <f t="shared" si="7"/>
        <v>1.73</v>
      </c>
      <c r="E31" s="116">
        <v>1.4550000000000001</v>
      </c>
      <c r="F31" s="117">
        <v>1.5549999999999999</v>
      </c>
      <c r="G31" s="118">
        <v>1.625</v>
      </c>
      <c r="H31" s="126">
        <f t="shared" si="10"/>
        <v>1.54</v>
      </c>
      <c r="I31" s="126">
        <f t="shared" si="10"/>
        <v>1.62</v>
      </c>
      <c r="J31" s="126">
        <f t="shared" si="10"/>
        <v>1.69</v>
      </c>
      <c r="K31" s="130">
        <f t="shared" si="0"/>
        <v>1.5283333333333333</v>
      </c>
      <c r="L31" s="131">
        <f t="shared" si="0"/>
        <v>1.6083333333333334</v>
      </c>
      <c r="M31" s="132">
        <f t="shared" si="0"/>
        <v>1.6816666666666666</v>
      </c>
      <c r="N31" s="133">
        <f t="shared" si="1"/>
        <v>43973</v>
      </c>
      <c r="P31" s="122">
        <f t="shared" si="4"/>
        <v>8.4999999999999964E-2</v>
      </c>
    </row>
    <row r="32" spans="1:16" s="134" customFormat="1" x14ac:dyDescent="0.25">
      <c r="A32" s="129">
        <f t="shared" si="5"/>
        <v>43974</v>
      </c>
      <c r="B32" s="123">
        <f t="shared" si="2"/>
        <v>1.59</v>
      </c>
      <c r="C32" s="124">
        <f t="shared" si="6"/>
        <v>1.65</v>
      </c>
      <c r="D32" s="125">
        <f t="shared" si="7"/>
        <v>1.73</v>
      </c>
      <c r="E32" s="116">
        <v>1.4750000000000001</v>
      </c>
      <c r="F32" s="117">
        <v>1.5549999999999999</v>
      </c>
      <c r="G32" s="118">
        <v>1.635</v>
      </c>
      <c r="H32" s="126">
        <f t="shared" si="10"/>
        <v>1.54</v>
      </c>
      <c r="I32" s="126">
        <f t="shared" si="10"/>
        <v>1.62</v>
      </c>
      <c r="J32" s="126">
        <f t="shared" si="10"/>
        <v>1.69</v>
      </c>
      <c r="K32" s="130">
        <f t="shared" si="0"/>
        <v>1.5350000000000001</v>
      </c>
      <c r="L32" s="131">
        <f t="shared" si="0"/>
        <v>1.6083333333333334</v>
      </c>
      <c r="M32" s="132">
        <f t="shared" si="0"/>
        <v>1.6849999999999998</v>
      </c>
      <c r="N32" s="133">
        <f t="shared" si="1"/>
        <v>43974</v>
      </c>
      <c r="P32" s="122">
        <f t="shared" si="4"/>
        <v>6.4999999999999947E-2</v>
      </c>
    </row>
    <row r="33" spans="1:16" s="134" customFormat="1" x14ac:dyDescent="0.25">
      <c r="A33" s="129">
        <f t="shared" si="5"/>
        <v>43975</v>
      </c>
      <c r="B33" s="123">
        <f t="shared" si="2"/>
        <v>1.59</v>
      </c>
      <c r="C33" s="124">
        <f t="shared" si="6"/>
        <v>1.65</v>
      </c>
      <c r="D33" s="125">
        <f t="shared" si="7"/>
        <v>1.73</v>
      </c>
      <c r="E33" s="116">
        <v>1.4750000000000001</v>
      </c>
      <c r="F33" s="117">
        <v>1.5549999999999999</v>
      </c>
      <c r="G33" s="118">
        <v>1.635</v>
      </c>
      <c r="H33" s="126">
        <f t="shared" si="10"/>
        <v>1.54</v>
      </c>
      <c r="I33" s="126">
        <f t="shared" si="10"/>
        <v>1.62</v>
      </c>
      <c r="J33" s="126">
        <f t="shared" si="10"/>
        <v>1.69</v>
      </c>
      <c r="K33" s="130">
        <f t="shared" si="0"/>
        <v>1.5350000000000001</v>
      </c>
      <c r="L33" s="131">
        <f t="shared" si="0"/>
        <v>1.6083333333333334</v>
      </c>
      <c r="M33" s="132">
        <f t="shared" si="0"/>
        <v>1.6849999999999998</v>
      </c>
      <c r="N33" s="133">
        <f t="shared" si="1"/>
        <v>43975</v>
      </c>
      <c r="P33" s="122">
        <f t="shared" si="4"/>
        <v>6.4999999999999947E-2</v>
      </c>
    </row>
    <row r="34" spans="1:16" s="134" customFormat="1" x14ac:dyDescent="0.25">
      <c r="A34" s="129">
        <f t="shared" si="5"/>
        <v>43976</v>
      </c>
      <c r="B34" s="123">
        <f t="shared" si="2"/>
        <v>1.59</v>
      </c>
      <c r="C34" s="124">
        <f t="shared" si="6"/>
        <v>1.65</v>
      </c>
      <c r="D34" s="125">
        <f t="shared" si="7"/>
        <v>1.73</v>
      </c>
      <c r="E34" s="116">
        <v>1.4750000000000001</v>
      </c>
      <c r="F34" s="117">
        <v>1.5549999999999999</v>
      </c>
      <c r="G34" s="118">
        <v>1.635</v>
      </c>
      <c r="H34" s="126">
        <f t="shared" si="10"/>
        <v>1.54</v>
      </c>
      <c r="I34" s="126">
        <f t="shared" si="10"/>
        <v>1.62</v>
      </c>
      <c r="J34" s="126">
        <f t="shared" si="10"/>
        <v>1.69</v>
      </c>
      <c r="K34" s="130">
        <f t="shared" si="0"/>
        <v>1.5350000000000001</v>
      </c>
      <c r="L34" s="131">
        <f t="shared" si="0"/>
        <v>1.6083333333333334</v>
      </c>
      <c r="M34" s="132">
        <f t="shared" si="0"/>
        <v>1.6849999999999998</v>
      </c>
      <c r="N34" s="133">
        <f t="shared" si="1"/>
        <v>43976</v>
      </c>
      <c r="P34" s="135">
        <f t="shared" si="4"/>
        <v>6.4999999999999947E-2</v>
      </c>
    </row>
    <row r="35" spans="1:16" s="134" customFormat="1" x14ac:dyDescent="0.25">
      <c r="A35" s="129">
        <f t="shared" si="5"/>
        <v>43977</v>
      </c>
      <c r="B35" s="123">
        <f t="shared" si="2"/>
        <v>1.59</v>
      </c>
      <c r="C35" s="124">
        <f t="shared" si="6"/>
        <v>1.65</v>
      </c>
      <c r="D35" s="125">
        <f t="shared" si="7"/>
        <v>1.73</v>
      </c>
      <c r="E35" s="116">
        <v>1.4750000000000001</v>
      </c>
      <c r="F35" s="117">
        <v>1.5549999999999999</v>
      </c>
      <c r="G35" s="118">
        <v>1.635</v>
      </c>
      <c r="H35" s="126">
        <f t="shared" si="10"/>
        <v>1.54</v>
      </c>
      <c r="I35" s="126">
        <f t="shared" si="10"/>
        <v>1.62</v>
      </c>
      <c r="J35" s="126">
        <f t="shared" si="10"/>
        <v>1.69</v>
      </c>
      <c r="K35" s="130">
        <f t="shared" si="0"/>
        <v>1.5350000000000001</v>
      </c>
      <c r="L35" s="131">
        <f t="shared" si="0"/>
        <v>1.6083333333333334</v>
      </c>
      <c r="M35" s="132">
        <f t="shared" si="0"/>
        <v>1.6849999999999998</v>
      </c>
      <c r="N35" s="133">
        <f t="shared" si="1"/>
        <v>43977</v>
      </c>
      <c r="P35" s="135">
        <f t="shared" si="4"/>
        <v>6.4999999999999947E-2</v>
      </c>
    </row>
    <row r="36" spans="1:16" ht="13" x14ac:dyDescent="0.3">
      <c r="A36" s="87">
        <f t="shared" si="5"/>
        <v>43978</v>
      </c>
      <c r="B36" s="123">
        <f t="shared" si="2"/>
        <v>1.59</v>
      </c>
      <c r="C36" s="124">
        <f t="shared" si="6"/>
        <v>1.65</v>
      </c>
      <c r="D36" s="125">
        <f t="shared" si="7"/>
        <v>1.73</v>
      </c>
      <c r="E36" s="116">
        <v>1.62</v>
      </c>
      <c r="F36" s="117">
        <v>1.665</v>
      </c>
      <c r="G36" s="118">
        <v>1.72</v>
      </c>
      <c r="H36" s="128">
        <v>1.51</v>
      </c>
      <c r="I36" s="128">
        <v>1.59</v>
      </c>
      <c r="J36" s="128">
        <v>1.62</v>
      </c>
      <c r="K36" s="130">
        <f t="shared" si="0"/>
        <v>1.5733333333333333</v>
      </c>
      <c r="L36" s="120">
        <f t="shared" si="0"/>
        <v>1.635</v>
      </c>
      <c r="M36" s="121">
        <f t="shared" si="0"/>
        <v>1.6900000000000002</v>
      </c>
      <c r="N36" s="133">
        <f t="shared" si="1"/>
        <v>43978</v>
      </c>
      <c r="P36" s="122">
        <f>H36-E36</f>
        <v>-0.1100000000000001</v>
      </c>
    </row>
    <row r="37" spans="1:16" ht="13" x14ac:dyDescent="0.3">
      <c r="A37" s="87">
        <f t="shared" si="5"/>
        <v>43979</v>
      </c>
      <c r="B37" s="123">
        <f t="shared" si="2"/>
        <v>1.59</v>
      </c>
      <c r="C37" s="124">
        <f t="shared" si="6"/>
        <v>1.65</v>
      </c>
      <c r="D37" s="125">
        <f t="shared" si="7"/>
        <v>1.73</v>
      </c>
      <c r="E37" s="116">
        <v>1.62</v>
      </c>
      <c r="F37" s="117">
        <v>1.67</v>
      </c>
      <c r="G37" s="118">
        <v>1.7250000000000001</v>
      </c>
      <c r="H37" s="126">
        <f t="shared" ref="H37:J40" si="11">H36</f>
        <v>1.51</v>
      </c>
      <c r="I37" s="126">
        <f t="shared" si="11"/>
        <v>1.59</v>
      </c>
      <c r="J37" s="126">
        <f t="shared" si="11"/>
        <v>1.62</v>
      </c>
      <c r="K37" s="130">
        <f t="shared" si="0"/>
        <v>1.5733333333333333</v>
      </c>
      <c r="L37" s="120">
        <f t="shared" si="0"/>
        <v>1.6366666666666667</v>
      </c>
      <c r="M37" s="121">
        <f t="shared" si="0"/>
        <v>1.6916666666666667</v>
      </c>
      <c r="N37" s="136">
        <f t="shared" si="1"/>
        <v>43979</v>
      </c>
      <c r="P37" s="122">
        <f t="shared" si="4"/>
        <v>-0.1100000000000001</v>
      </c>
    </row>
    <row r="38" spans="1:16" s="134" customFormat="1" x14ac:dyDescent="0.25">
      <c r="A38" s="129">
        <f t="shared" si="5"/>
        <v>43980</v>
      </c>
      <c r="B38" s="123">
        <f t="shared" si="2"/>
        <v>1.59</v>
      </c>
      <c r="C38" s="124">
        <f t="shared" si="6"/>
        <v>1.65</v>
      </c>
      <c r="D38" s="125">
        <f t="shared" si="7"/>
        <v>1.73</v>
      </c>
      <c r="E38" s="116">
        <v>1.4650000000000001</v>
      </c>
      <c r="F38" s="117">
        <v>1.585</v>
      </c>
      <c r="G38" s="118">
        <v>1.67</v>
      </c>
      <c r="H38" s="126">
        <f t="shared" si="11"/>
        <v>1.51</v>
      </c>
      <c r="I38" s="126">
        <f t="shared" si="11"/>
        <v>1.59</v>
      </c>
      <c r="J38" s="126">
        <f t="shared" si="11"/>
        <v>1.62</v>
      </c>
      <c r="K38" s="130">
        <f t="shared" ref="K38:M40" si="12">AVERAGE(B38,E38,H38)</f>
        <v>1.5216666666666667</v>
      </c>
      <c r="L38" s="131">
        <f t="shared" si="12"/>
        <v>1.6083333333333334</v>
      </c>
      <c r="M38" s="132">
        <f t="shared" si="12"/>
        <v>1.6733333333333331</v>
      </c>
      <c r="N38" s="133">
        <f t="shared" si="1"/>
        <v>43980</v>
      </c>
      <c r="P38" s="135">
        <f t="shared" si="4"/>
        <v>4.4999999999999929E-2</v>
      </c>
    </row>
    <row r="39" spans="1:16" ht="13" x14ac:dyDescent="0.3">
      <c r="A39" s="87">
        <f t="shared" si="5"/>
        <v>43981</v>
      </c>
      <c r="B39" s="123">
        <f t="shared" si="2"/>
        <v>1.59</v>
      </c>
      <c r="C39" s="124">
        <f t="shared" si="6"/>
        <v>1.65</v>
      </c>
      <c r="D39" s="125">
        <f t="shared" si="7"/>
        <v>1.73</v>
      </c>
      <c r="E39" s="116">
        <v>1.4650000000000001</v>
      </c>
      <c r="F39" s="117">
        <v>1.585</v>
      </c>
      <c r="G39" s="118">
        <v>1.67</v>
      </c>
      <c r="H39" s="126">
        <f t="shared" si="11"/>
        <v>1.51</v>
      </c>
      <c r="I39" s="126">
        <f t="shared" si="11"/>
        <v>1.59</v>
      </c>
      <c r="J39" s="126">
        <f t="shared" si="11"/>
        <v>1.62</v>
      </c>
      <c r="K39" s="130">
        <f t="shared" si="12"/>
        <v>1.5216666666666667</v>
      </c>
      <c r="L39" s="120">
        <f t="shared" si="12"/>
        <v>1.6083333333333334</v>
      </c>
      <c r="M39" s="121">
        <f t="shared" si="12"/>
        <v>1.6733333333333331</v>
      </c>
      <c r="N39" s="136">
        <f t="shared" si="1"/>
        <v>43981</v>
      </c>
      <c r="P39" s="122">
        <f t="shared" si="4"/>
        <v>4.4999999999999929E-2</v>
      </c>
    </row>
    <row r="40" spans="1:16" ht="13" x14ac:dyDescent="0.3">
      <c r="A40" s="87">
        <f t="shared" si="5"/>
        <v>43982</v>
      </c>
      <c r="B40" s="123">
        <f t="shared" si="2"/>
        <v>1.59</v>
      </c>
      <c r="C40" s="124">
        <f t="shared" si="6"/>
        <v>1.65</v>
      </c>
      <c r="D40" s="125">
        <f t="shared" si="7"/>
        <v>1.73</v>
      </c>
      <c r="E40" s="116">
        <v>1.4650000000000001</v>
      </c>
      <c r="F40" s="117">
        <v>1.585</v>
      </c>
      <c r="G40" s="118">
        <v>1.67</v>
      </c>
      <c r="H40" s="126">
        <f t="shared" si="11"/>
        <v>1.51</v>
      </c>
      <c r="I40" s="126">
        <f t="shared" si="11"/>
        <v>1.59</v>
      </c>
      <c r="J40" s="126">
        <f t="shared" si="11"/>
        <v>1.62</v>
      </c>
      <c r="K40" s="130">
        <f t="shared" si="12"/>
        <v>1.5216666666666667</v>
      </c>
      <c r="L40" s="120">
        <f t="shared" si="12"/>
        <v>1.6083333333333334</v>
      </c>
      <c r="M40" s="121">
        <f t="shared" si="12"/>
        <v>1.6733333333333331</v>
      </c>
      <c r="N40" s="136">
        <f t="shared" si="1"/>
        <v>43982</v>
      </c>
      <c r="P40" s="122">
        <f t="shared" si="4"/>
        <v>4.4999999999999929E-2</v>
      </c>
    </row>
    <row r="41" spans="1:16" x14ac:dyDescent="0.25">
      <c r="B41" s="123"/>
      <c r="C41" s="124"/>
      <c r="D41" s="125"/>
      <c r="E41" s="137"/>
      <c r="F41" s="138"/>
      <c r="G41" s="139"/>
      <c r="H41" s="137"/>
      <c r="I41" s="138"/>
      <c r="J41" s="139"/>
      <c r="K41" s="119"/>
      <c r="L41" s="120"/>
      <c r="M41" s="121"/>
    </row>
    <row r="42" spans="1:16" s="134" customFormat="1" ht="13" x14ac:dyDescent="0.3">
      <c r="A42" s="140" t="s">
        <v>90</v>
      </c>
      <c r="B42" s="141">
        <f t="shared" ref="B42:M42" si="13">AVERAGE(B10:B40)</f>
        <v>1.5900000000000012</v>
      </c>
      <c r="C42" s="141">
        <f t="shared" si="13"/>
        <v>1.649999999999999</v>
      </c>
      <c r="D42" s="141">
        <f t="shared" si="13"/>
        <v>1.7299999999999989</v>
      </c>
      <c r="E42" s="141">
        <f t="shared" si="13"/>
        <v>1.5061290322580647</v>
      </c>
      <c r="F42" s="141">
        <f t="shared" si="13"/>
        <v>1.5872580645161289</v>
      </c>
      <c r="G42" s="141">
        <f t="shared" si="13"/>
        <v>1.6679032258064512</v>
      </c>
      <c r="H42" s="141">
        <f t="shared" si="13"/>
        <v>1.5161290322580638</v>
      </c>
      <c r="I42" s="141">
        <f t="shared" si="13"/>
        <v>1.5935483870967744</v>
      </c>
      <c r="J42" s="141">
        <f t="shared" si="13"/>
        <v>1.6703225806451603</v>
      </c>
      <c r="K42" s="141">
        <f t="shared" si="13"/>
        <v>1.5374193548387094</v>
      </c>
      <c r="L42" s="141">
        <f t="shared" si="13"/>
        <v>1.6102688172043012</v>
      </c>
      <c r="M42" s="141">
        <f t="shared" si="13"/>
        <v>1.6894086021505379</v>
      </c>
      <c r="N42" s="142"/>
    </row>
    <row r="43" spans="1:16" x14ac:dyDescent="0.25">
      <c r="B43" s="143"/>
      <c r="C43" s="143"/>
      <c r="D43" s="143"/>
      <c r="E43" s="143"/>
      <c r="F43" s="143"/>
      <c r="G43" s="143"/>
      <c r="H43" s="143"/>
      <c r="I43" s="143"/>
      <c r="J43" s="143"/>
      <c r="K43" s="144"/>
      <c r="L43" s="145"/>
    </row>
    <row r="44" spans="1:16" x14ac:dyDescent="0.25">
      <c r="B44" s="143"/>
      <c r="C44" s="143"/>
      <c r="D44" s="143"/>
      <c r="E44" s="143"/>
      <c r="F44" s="143"/>
      <c r="G44" s="176"/>
      <c r="H44" s="177"/>
      <c r="I44" s="176"/>
      <c r="J44" s="143"/>
      <c r="K44" s="144"/>
      <c r="L44" s="145"/>
    </row>
    <row r="45" spans="1:16" x14ac:dyDescent="0.25">
      <c r="B45" s="143"/>
      <c r="C45" s="143"/>
      <c r="D45" s="143"/>
      <c r="E45" s="143"/>
      <c r="F45" s="143"/>
      <c r="G45" s="143"/>
      <c r="H45" s="143"/>
      <c r="I45" s="143"/>
      <c r="J45" s="143"/>
      <c r="K45" s="144"/>
      <c r="L45" s="145"/>
    </row>
    <row r="46" spans="1:16" x14ac:dyDescent="0.25">
      <c r="B46" s="143"/>
      <c r="C46" s="143"/>
      <c r="D46" s="143"/>
      <c r="E46" s="143"/>
      <c r="F46" s="143"/>
      <c r="G46" s="143"/>
      <c r="H46" s="143"/>
      <c r="I46" s="143"/>
      <c r="J46" s="143"/>
      <c r="K46" s="144"/>
      <c r="L46" s="145"/>
    </row>
    <row r="47" spans="1:16" x14ac:dyDescent="0.25">
      <c r="B47" s="143"/>
      <c r="C47" s="143"/>
      <c r="D47" s="143"/>
      <c r="E47" s="143"/>
      <c r="F47" s="143"/>
      <c r="G47" s="143"/>
      <c r="H47" s="143"/>
      <c r="I47" s="143"/>
      <c r="J47" s="143"/>
      <c r="K47" s="144"/>
      <c r="L47" s="145"/>
    </row>
    <row r="48" spans="1:16" ht="13" x14ac:dyDescent="0.3">
      <c r="A48" s="147" t="s">
        <v>91</v>
      </c>
      <c r="B48" s="148"/>
      <c r="C48" s="148"/>
      <c r="D48" s="148"/>
      <c r="E48" s="148"/>
      <c r="F48" s="148"/>
      <c r="G48" s="148"/>
      <c r="H48" s="148"/>
      <c r="I48" s="148"/>
      <c r="J48" s="149"/>
      <c r="K48" s="144"/>
      <c r="L48" s="145"/>
    </row>
    <row r="49" spans="1:17" x14ac:dyDescent="0.25">
      <c r="A49" s="150"/>
      <c r="B49" s="120"/>
      <c r="C49" s="120"/>
      <c r="D49" s="120"/>
      <c r="E49" s="120"/>
      <c r="F49" s="120"/>
      <c r="G49" s="120"/>
      <c r="H49" s="120"/>
      <c r="I49" s="120"/>
      <c r="J49" s="151"/>
      <c r="K49" s="144"/>
      <c r="L49" s="145"/>
    </row>
    <row r="50" spans="1:17" ht="14" x14ac:dyDescent="0.3">
      <c r="A50" s="152"/>
      <c r="B50" s="153"/>
      <c r="C50" s="153"/>
      <c r="D50" s="153"/>
      <c r="E50" s="154" t="s">
        <v>92</v>
      </c>
      <c r="F50" s="154" t="s">
        <v>92</v>
      </c>
      <c r="G50" s="154" t="s">
        <v>93</v>
      </c>
      <c r="H50" s="153"/>
      <c r="I50" s="153"/>
      <c r="J50" s="155"/>
      <c r="L50" s="145"/>
      <c r="M50" s="156"/>
    </row>
    <row r="51" spans="1:17" ht="15" customHeight="1" x14ac:dyDescent="0.3">
      <c r="A51" s="152"/>
      <c r="B51" s="157" t="s">
        <v>42</v>
      </c>
      <c r="C51" s="157" t="s">
        <v>94</v>
      </c>
      <c r="D51" s="153"/>
      <c r="E51" s="157" t="s">
        <v>95</v>
      </c>
      <c r="F51" s="157" t="s">
        <v>96</v>
      </c>
      <c r="G51" s="157" t="s">
        <v>96</v>
      </c>
      <c r="H51" s="205" t="s">
        <v>97</v>
      </c>
      <c r="I51" s="205"/>
      <c r="J51" s="155"/>
      <c r="K51" s="158"/>
      <c r="L51" s="159"/>
      <c r="M51" s="156"/>
    </row>
    <row r="52" spans="1:17" ht="15" customHeight="1" x14ac:dyDescent="0.3">
      <c r="A52" s="152"/>
      <c r="B52" s="153" t="s">
        <v>55</v>
      </c>
      <c r="C52" s="153" t="s">
        <v>98</v>
      </c>
      <c r="D52" s="153"/>
      <c r="E52" s="160">
        <f>1161196-25440-108500</f>
        <v>1027256</v>
      </c>
      <c r="F52" s="161">
        <f>1770471.49-187433.75</f>
        <v>1583037.74</v>
      </c>
      <c r="G52" s="162">
        <f>E52*$K$42</f>
        <v>1579323.2567741934</v>
      </c>
      <c r="H52" s="153"/>
      <c r="I52" s="163">
        <f>G52-F52</f>
        <v>-3714.4832258066162</v>
      </c>
      <c r="J52" s="155"/>
      <c r="L52" s="145"/>
      <c r="M52" s="156"/>
    </row>
    <row r="53" spans="1:17" ht="14" x14ac:dyDescent="0.3">
      <c r="A53" s="152"/>
      <c r="B53" s="153" t="s">
        <v>62</v>
      </c>
      <c r="C53" s="153" t="s">
        <v>99</v>
      </c>
      <c r="D53" s="153"/>
      <c r="E53" s="160">
        <v>0</v>
      </c>
      <c r="F53" s="161">
        <v>0</v>
      </c>
      <c r="G53" s="162">
        <f>E53*$L$42</f>
        <v>0</v>
      </c>
      <c r="H53" s="153"/>
      <c r="I53" s="163">
        <f t="shared" ref="I53:I54" si="14">G53-F53</f>
        <v>0</v>
      </c>
      <c r="J53" s="155"/>
      <c r="L53" s="145"/>
      <c r="M53" s="156"/>
    </row>
    <row r="54" spans="1:17" s="81" customFormat="1" ht="14" x14ac:dyDescent="0.3">
      <c r="A54" s="152"/>
      <c r="B54" s="153" t="s">
        <v>100</v>
      </c>
      <c r="C54" s="153">
        <v>500</v>
      </c>
      <c r="D54" s="153"/>
      <c r="E54" s="160">
        <v>108500</v>
      </c>
      <c r="F54" s="161">
        <v>187433.75</v>
      </c>
      <c r="G54" s="162">
        <f>E54*$M$42</f>
        <v>183300.83333333337</v>
      </c>
      <c r="H54" s="153"/>
      <c r="I54" s="163">
        <f t="shared" si="14"/>
        <v>-4132.9166666666279</v>
      </c>
      <c r="J54" s="155"/>
      <c r="L54" s="145"/>
      <c r="M54" s="156"/>
      <c r="O54" s="82"/>
      <c r="P54" s="82"/>
      <c r="Q54" s="82"/>
    </row>
    <row r="55" spans="1:17" s="81" customFormat="1" ht="14.5" thickBot="1" x14ac:dyDescent="0.35">
      <c r="A55" s="152"/>
      <c r="B55" s="153"/>
      <c r="C55" s="153"/>
      <c r="D55" s="153"/>
      <c r="E55" s="160"/>
      <c r="F55" s="161"/>
      <c r="G55" s="153"/>
      <c r="H55" s="153"/>
      <c r="I55" s="153"/>
      <c r="J55" s="155"/>
      <c r="L55" s="145"/>
      <c r="M55" s="156"/>
      <c r="O55" s="82"/>
      <c r="P55" s="82"/>
      <c r="Q55" s="82"/>
    </row>
    <row r="56" spans="1:17" s="81" customFormat="1" ht="14.5" thickBot="1" x14ac:dyDescent="0.35">
      <c r="A56" s="152"/>
      <c r="B56" s="153"/>
      <c r="C56" s="153"/>
      <c r="D56" s="153"/>
      <c r="E56" s="160"/>
      <c r="F56" s="161"/>
      <c r="G56" s="153"/>
      <c r="H56" s="164"/>
      <c r="I56" s="165">
        <f>SUM(I52:I55)</f>
        <v>-7847.3998924732441</v>
      </c>
      <c r="J56" s="155"/>
      <c r="L56" s="145"/>
      <c r="M56" s="156"/>
      <c r="O56" s="82"/>
      <c r="P56" s="82"/>
      <c r="Q56" s="82"/>
    </row>
    <row r="57" spans="1:17" s="81" customFormat="1" ht="14" x14ac:dyDescent="0.3">
      <c r="A57" s="166"/>
      <c r="B57" s="167"/>
      <c r="C57" s="167"/>
      <c r="D57" s="167"/>
      <c r="E57" s="168"/>
      <c r="F57" s="167"/>
      <c r="G57" s="167"/>
      <c r="H57" s="167"/>
      <c r="I57" s="167"/>
      <c r="J57" s="169"/>
      <c r="L57" s="145"/>
      <c r="M57" s="156"/>
      <c r="O57" s="82"/>
      <c r="P57" s="82"/>
      <c r="Q57" s="82"/>
    </row>
    <row r="58" spans="1:17" s="81" customFormat="1" ht="14" x14ac:dyDescent="0.3">
      <c r="A58" s="87"/>
      <c r="L58" s="145"/>
      <c r="M58" s="156"/>
      <c r="O58" s="82"/>
      <c r="P58" s="82"/>
      <c r="Q58" s="82"/>
    </row>
    <row r="59" spans="1:17" s="81" customFormat="1" ht="14" x14ac:dyDescent="0.3">
      <c r="A59" s="170"/>
      <c r="L59" s="145"/>
      <c r="M59" s="156"/>
      <c r="O59" s="82"/>
      <c r="P59" s="82"/>
      <c r="Q59" s="82"/>
    </row>
    <row r="60" spans="1:17" s="81" customFormat="1" ht="14" x14ac:dyDescent="0.3">
      <c r="A60" s="87"/>
      <c r="L60" s="145"/>
      <c r="M60" s="156"/>
      <c r="O60" s="82"/>
      <c r="P60" s="82"/>
      <c r="Q60" s="82"/>
    </row>
    <row r="61" spans="1:17" s="81" customFormat="1" x14ac:dyDescent="0.25">
      <c r="A61" s="87"/>
      <c r="B61" s="143"/>
      <c r="C61" s="143"/>
      <c r="D61" s="143"/>
      <c r="E61" s="143"/>
      <c r="F61" s="143"/>
      <c r="G61" s="143"/>
      <c r="H61" s="143"/>
      <c r="I61" s="143"/>
      <c r="J61" s="143"/>
      <c r="K61" s="144"/>
      <c r="L61" s="145"/>
      <c r="O61" s="82"/>
      <c r="P61" s="82"/>
      <c r="Q61" s="82"/>
    </row>
    <row r="62" spans="1:17" s="81" customFormat="1" ht="13" x14ac:dyDescent="0.3">
      <c r="A62" s="147" t="s">
        <v>101</v>
      </c>
      <c r="B62" s="148"/>
      <c r="C62" s="148"/>
      <c r="D62" s="148"/>
      <c r="E62" s="148"/>
      <c r="F62" s="148"/>
      <c r="G62" s="148"/>
      <c r="H62" s="148"/>
      <c r="I62" s="148"/>
      <c r="J62" s="149"/>
      <c r="K62" s="144"/>
      <c r="L62" s="145"/>
      <c r="O62" s="82"/>
      <c r="P62" s="82"/>
      <c r="Q62" s="82"/>
    </row>
    <row r="63" spans="1:17" s="81" customFormat="1" x14ac:dyDescent="0.25">
      <c r="A63" s="150"/>
      <c r="B63" s="120"/>
      <c r="C63" s="120"/>
      <c r="D63" s="120"/>
      <c r="E63" s="120"/>
      <c r="F63" s="120"/>
      <c r="G63" s="120"/>
      <c r="H63" s="120"/>
      <c r="I63" s="120"/>
      <c r="J63" s="151"/>
      <c r="K63" s="144"/>
      <c r="L63" s="145"/>
      <c r="O63" s="82"/>
      <c r="P63" s="82"/>
      <c r="Q63" s="82"/>
    </row>
    <row r="64" spans="1:17" s="81" customFormat="1" ht="13" x14ac:dyDescent="0.3">
      <c r="A64" s="152"/>
      <c r="B64" s="153"/>
      <c r="C64" s="153"/>
      <c r="D64" s="153"/>
      <c r="E64" s="154" t="s">
        <v>92</v>
      </c>
      <c r="F64" s="154" t="s">
        <v>92</v>
      </c>
      <c r="G64" s="154" t="s">
        <v>93</v>
      </c>
      <c r="H64" s="153"/>
      <c r="I64" s="153"/>
      <c r="J64" s="155"/>
      <c r="L64" s="145"/>
      <c r="M64" s="171"/>
      <c r="O64" s="82"/>
      <c r="P64" s="82"/>
      <c r="Q64" s="82"/>
    </row>
    <row r="65" spans="1:17" s="81" customFormat="1" ht="13" x14ac:dyDescent="0.3">
      <c r="A65" s="152"/>
      <c r="B65" s="157" t="s">
        <v>42</v>
      </c>
      <c r="C65" s="157" t="s">
        <v>94</v>
      </c>
      <c r="D65" s="153"/>
      <c r="E65" s="157" t="s">
        <v>95</v>
      </c>
      <c r="F65" s="157" t="s">
        <v>96</v>
      </c>
      <c r="G65" s="157" t="s">
        <v>96</v>
      </c>
      <c r="H65" s="205" t="s">
        <v>97</v>
      </c>
      <c r="I65" s="205"/>
      <c r="J65" s="155"/>
      <c r="L65" s="145"/>
      <c r="O65" s="82"/>
      <c r="P65" s="82"/>
      <c r="Q65" s="82"/>
    </row>
    <row r="66" spans="1:17" x14ac:dyDescent="0.25">
      <c r="A66" s="152"/>
      <c r="B66" s="153" t="s">
        <v>55</v>
      </c>
      <c r="C66" s="153" t="s">
        <v>98</v>
      </c>
      <c r="D66" s="153"/>
      <c r="E66" s="160">
        <f>1135756-108500</f>
        <v>1027256</v>
      </c>
      <c r="F66" s="161">
        <f>1770473.65-187433.75</f>
        <v>1583039.9</v>
      </c>
      <c r="G66" s="162">
        <f>E66*$K$42</f>
        <v>1579323.2567741934</v>
      </c>
      <c r="H66" s="153"/>
      <c r="I66" s="163">
        <f>G66-F66</f>
        <v>-3716.6432258065324</v>
      </c>
      <c r="J66" s="155"/>
    </row>
    <row r="67" spans="1:17" s="81" customFormat="1" x14ac:dyDescent="0.25">
      <c r="A67" s="152"/>
      <c r="B67" s="153" t="s">
        <v>62</v>
      </c>
      <c r="C67" s="153" t="s">
        <v>99</v>
      </c>
      <c r="D67" s="153"/>
      <c r="E67" s="160">
        <v>0</v>
      </c>
      <c r="F67" s="161">
        <v>0</v>
      </c>
      <c r="G67" s="162">
        <f>E67*$L$42</f>
        <v>0</v>
      </c>
      <c r="H67" s="153"/>
      <c r="I67" s="163">
        <f t="shared" ref="I67:I68" si="15">G67-F67</f>
        <v>0</v>
      </c>
      <c r="J67" s="155"/>
      <c r="K67" s="144"/>
      <c r="L67" s="145"/>
      <c r="O67" s="82"/>
      <c r="P67" s="82"/>
      <c r="Q67" s="82"/>
    </row>
    <row r="68" spans="1:17" s="81" customFormat="1" x14ac:dyDescent="0.25">
      <c r="A68" s="152"/>
      <c r="B68" s="153" t="s">
        <v>100</v>
      </c>
      <c r="C68" s="153">
        <v>500</v>
      </c>
      <c r="D68" s="153"/>
      <c r="E68" s="160">
        <v>108500</v>
      </c>
      <c r="F68" s="161">
        <v>187433.75</v>
      </c>
      <c r="G68" s="162">
        <f>E68*$M$42</f>
        <v>183300.83333333337</v>
      </c>
      <c r="H68" s="153"/>
      <c r="I68" s="163">
        <f t="shared" si="15"/>
        <v>-4132.9166666666279</v>
      </c>
      <c r="J68" s="155"/>
      <c r="K68" s="144"/>
      <c r="L68" s="145"/>
      <c r="O68" s="82"/>
      <c r="P68" s="82"/>
      <c r="Q68" s="82"/>
    </row>
    <row r="69" spans="1:17" s="81" customFormat="1" ht="13" thickBot="1" x14ac:dyDescent="0.3">
      <c r="A69" s="152"/>
      <c r="B69" s="153"/>
      <c r="C69" s="153"/>
      <c r="D69" s="153"/>
      <c r="E69" s="160"/>
      <c r="F69" s="161"/>
      <c r="G69" s="153"/>
      <c r="H69" s="153"/>
      <c r="I69" s="153"/>
      <c r="J69" s="155"/>
      <c r="K69" s="144"/>
      <c r="L69" s="145"/>
      <c r="O69" s="82"/>
      <c r="P69" s="82"/>
      <c r="Q69" s="82"/>
    </row>
    <row r="70" spans="1:17" s="81" customFormat="1" ht="13" thickBot="1" x14ac:dyDescent="0.3">
      <c r="A70" s="152"/>
      <c r="B70" s="153"/>
      <c r="C70" s="153"/>
      <c r="D70" s="153"/>
      <c r="E70" s="160"/>
      <c r="F70" s="161"/>
      <c r="G70" s="153"/>
      <c r="H70" s="164"/>
      <c r="I70" s="165">
        <f>SUM(I66:I69)</f>
        <v>-7849.5598924731603</v>
      </c>
      <c r="J70" s="155"/>
      <c r="L70" s="145"/>
      <c r="M70" s="171"/>
      <c r="O70" s="82"/>
      <c r="P70" s="82"/>
      <c r="Q70" s="82"/>
    </row>
    <row r="71" spans="1:17" s="81" customFormat="1" x14ac:dyDescent="0.25">
      <c r="A71" s="166"/>
      <c r="B71" s="167"/>
      <c r="C71" s="167"/>
      <c r="D71" s="167"/>
      <c r="E71" s="168"/>
      <c r="F71" s="167"/>
      <c r="G71" s="167"/>
      <c r="H71" s="167"/>
      <c r="I71" s="167"/>
      <c r="J71" s="169"/>
      <c r="L71" s="145"/>
      <c r="O71" s="82"/>
      <c r="P71" s="82"/>
      <c r="Q71" s="82"/>
    </row>
    <row r="72" spans="1:17" s="81" customFormat="1" x14ac:dyDescent="0.25">
      <c r="A72" s="87"/>
      <c r="L72" s="145"/>
      <c r="O72" s="82"/>
      <c r="P72" s="82"/>
      <c r="Q72" s="82"/>
    </row>
    <row r="73" spans="1:17" ht="13" x14ac:dyDescent="0.3">
      <c r="A73" s="170"/>
    </row>
    <row r="74" spans="1:17" s="81" customFormat="1" x14ac:dyDescent="0.25">
      <c r="A74" s="87"/>
      <c r="L74" s="145"/>
      <c r="M74" s="171"/>
      <c r="O74" s="82"/>
      <c r="P74" s="82"/>
      <c r="Q74" s="82"/>
    </row>
    <row r="75" spans="1:17" s="81" customFormat="1" x14ac:dyDescent="0.25">
      <c r="A75" s="87"/>
      <c r="B75" s="143"/>
      <c r="C75" s="143"/>
      <c r="D75" s="143"/>
      <c r="E75" s="143"/>
      <c r="F75" s="143"/>
      <c r="G75" s="143"/>
      <c r="H75" s="143"/>
      <c r="I75" s="143"/>
      <c r="J75" s="143"/>
      <c r="K75" s="144"/>
      <c r="L75" s="145"/>
      <c r="O75" s="82"/>
      <c r="P75" s="82"/>
      <c r="Q75" s="82"/>
    </row>
    <row r="76" spans="1:17" s="81" customFormat="1" x14ac:dyDescent="0.25">
      <c r="A76" s="87"/>
      <c r="B76" s="143"/>
      <c r="C76" s="143"/>
      <c r="D76" s="143"/>
      <c r="E76" s="143"/>
      <c r="F76" s="143"/>
      <c r="G76" s="143"/>
      <c r="H76" s="143"/>
      <c r="I76" s="143"/>
      <c r="J76" s="143"/>
      <c r="K76" s="144"/>
      <c r="L76" s="145"/>
      <c r="M76" s="143"/>
      <c r="O76" s="82"/>
      <c r="P76" s="82"/>
      <c r="Q76" s="82"/>
    </row>
    <row r="77" spans="1:17" s="81" customFormat="1" x14ac:dyDescent="0.25">
      <c r="A77" s="87"/>
      <c r="B77" s="143"/>
      <c r="C77" s="143"/>
      <c r="D77" s="143"/>
      <c r="E77" s="143"/>
      <c r="F77" s="143"/>
      <c r="G77" s="143"/>
      <c r="H77" s="143"/>
      <c r="I77" s="143"/>
      <c r="J77" s="143"/>
      <c r="K77" s="144"/>
      <c r="L77" s="145"/>
      <c r="O77" s="82"/>
      <c r="P77" s="82"/>
      <c r="Q77" s="82"/>
    </row>
    <row r="78" spans="1:17" s="81" customFormat="1" x14ac:dyDescent="0.25">
      <c r="A78" s="87"/>
      <c r="B78" s="143"/>
      <c r="C78" s="143"/>
      <c r="D78" s="143"/>
      <c r="E78" s="143"/>
      <c r="F78" s="143"/>
      <c r="G78" s="143"/>
      <c r="H78" s="143"/>
      <c r="I78" s="143"/>
      <c r="J78" s="143"/>
      <c r="K78" s="144"/>
      <c r="L78" s="145"/>
      <c r="M78" s="171"/>
      <c r="O78" s="82"/>
      <c r="P78" s="82"/>
      <c r="Q78" s="82"/>
    </row>
    <row r="79" spans="1:17" s="81" customFormat="1" x14ac:dyDescent="0.25">
      <c r="A79" s="87"/>
      <c r="B79" s="143"/>
      <c r="C79" s="143"/>
      <c r="D79" s="143"/>
      <c r="E79" s="143"/>
      <c r="F79" s="143"/>
      <c r="G79" s="143"/>
      <c r="H79" s="143"/>
      <c r="I79" s="143"/>
      <c r="J79" s="143"/>
      <c r="K79" s="144"/>
      <c r="L79" s="145"/>
      <c r="O79" s="82"/>
      <c r="P79" s="82"/>
      <c r="Q79" s="82"/>
    </row>
    <row r="80" spans="1:17" s="81" customFormat="1" x14ac:dyDescent="0.25">
      <c r="A80" s="87"/>
      <c r="L80" s="145"/>
      <c r="O80" s="82"/>
      <c r="P80" s="82"/>
      <c r="Q80" s="82"/>
    </row>
    <row r="81" spans="1:17" s="81" customFormat="1" x14ac:dyDescent="0.25">
      <c r="A81" s="87"/>
      <c r="L81" s="145"/>
      <c r="O81" s="82"/>
      <c r="P81" s="82"/>
      <c r="Q81" s="82"/>
    </row>
    <row r="82" spans="1:17" s="81" customFormat="1" x14ac:dyDescent="0.25">
      <c r="A82" s="87"/>
      <c r="B82" s="143"/>
      <c r="C82" s="143"/>
      <c r="D82" s="143"/>
      <c r="E82" s="143"/>
      <c r="F82" s="143"/>
      <c r="G82" s="143"/>
      <c r="H82" s="143"/>
      <c r="I82" s="143"/>
      <c r="J82" s="143"/>
      <c r="L82" s="145"/>
      <c r="M82" s="171"/>
      <c r="O82" s="82"/>
      <c r="P82" s="82"/>
      <c r="Q82" s="82"/>
    </row>
  </sheetData>
  <mergeCells count="8">
    <mergeCell ref="H51:I51"/>
    <mergeCell ref="H65:I65"/>
    <mergeCell ref="H6:J6"/>
    <mergeCell ref="K6:M6"/>
    <mergeCell ref="B7:D7"/>
    <mergeCell ref="E7:G7"/>
    <mergeCell ref="H7:J7"/>
    <mergeCell ref="K7:M7"/>
  </mergeCells>
  <pageMargins left="0" right="0" top="0.53" bottom="0.74" header="0.21" footer="0.4"/>
  <pageSetup scale="75" fitToHeight="0" orientation="portrait" r:id="rId1"/>
  <headerFooter alignWithMargins="0">
    <oddHeader xml:space="preserve">&amp;RKY PSC CN 2020-00378  
 Staff's Data Request Set 1 No. 5 Attachment C  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view="pageLayout" zoomScaleNormal="100" zoomScaleSheetLayoutView="100" workbookViewId="0">
      <selection activeCell="H3" sqref="H3"/>
    </sheetView>
  </sheetViews>
  <sheetFormatPr defaultColWidth="9.1796875" defaultRowHeight="15.5" x14ac:dyDescent="0.35"/>
  <cols>
    <col min="1" max="1" width="4.26953125" style="2" customWidth="1"/>
    <col min="2" max="2" width="16.7265625" style="2" customWidth="1"/>
    <col min="3" max="3" width="18.54296875" style="2" customWidth="1"/>
    <col min="4" max="4" width="16.1796875" style="2" customWidth="1"/>
    <col min="5" max="5" width="5.54296875" style="2" customWidth="1"/>
    <col min="6" max="6" width="18" style="2" customWidth="1"/>
    <col min="7" max="7" width="5.1796875" style="2" customWidth="1"/>
    <col min="8" max="8" width="32.54296875" style="2" customWidth="1"/>
    <col min="9" max="9" width="12" style="2" bestFit="1" customWidth="1"/>
    <col min="10" max="16384" width="9.1796875" style="2"/>
  </cols>
  <sheetData>
    <row r="1" spans="1:9" ht="18.5" x14ac:dyDescent="0.45">
      <c r="A1" s="1" t="s">
        <v>0</v>
      </c>
    </row>
    <row r="2" spans="1:9" ht="18.5" x14ac:dyDescent="0.45">
      <c r="A2" s="1" t="s">
        <v>1</v>
      </c>
    </row>
    <row r="3" spans="1:9" ht="18.5" x14ac:dyDescent="0.45">
      <c r="A3" s="3" t="s">
        <v>2</v>
      </c>
      <c r="C3" s="4">
        <v>43983</v>
      </c>
    </row>
    <row r="5" spans="1:9" x14ac:dyDescent="0.35">
      <c r="B5" s="5"/>
      <c r="C5" s="5"/>
      <c r="D5" s="6">
        <f>C3</f>
        <v>43983</v>
      </c>
      <c r="E5" s="7"/>
      <c r="F5" s="6">
        <f>C3</f>
        <v>43983</v>
      </c>
      <c r="G5" s="6"/>
      <c r="H5" s="7"/>
    </row>
    <row r="6" spans="1:9" x14ac:dyDescent="0.35">
      <c r="A6" s="8" t="s">
        <v>3</v>
      </c>
      <c r="B6" s="9" t="s">
        <v>4</v>
      </c>
      <c r="C6" s="9"/>
      <c r="D6" s="10" t="s">
        <v>5</v>
      </c>
      <c r="E6" s="11"/>
      <c r="F6" s="10" t="s">
        <v>6</v>
      </c>
      <c r="G6" s="10"/>
      <c r="H6" s="12"/>
    </row>
    <row r="7" spans="1:9" x14ac:dyDescent="0.35">
      <c r="A7" s="13">
        <v>1</v>
      </c>
      <c r="B7" s="12" t="s">
        <v>7</v>
      </c>
      <c r="C7" s="12"/>
      <c r="D7" s="14">
        <f>D24*0.3</f>
        <v>16598.325720000001</v>
      </c>
      <c r="E7" s="15"/>
      <c r="F7" s="14">
        <f>F24*0.3</f>
        <v>16578.434519999999</v>
      </c>
      <c r="G7" s="15"/>
      <c r="H7" s="16" t="s">
        <v>8</v>
      </c>
    </row>
    <row r="8" spans="1:9" x14ac:dyDescent="0.35">
      <c r="A8" s="13">
        <f>A7+1</f>
        <v>2</v>
      </c>
      <c r="B8" s="12" t="s">
        <v>7</v>
      </c>
      <c r="C8" s="12"/>
      <c r="D8" s="17">
        <f>IF(D24&gt;0,(D16-D24)*0.5,0)</f>
        <v>42982.953800000003</v>
      </c>
      <c r="E8" s="18"/>
      <c r="F8" s="17">
        <f>IF(F24&gt;0,(F16-F24)*0.5,0)</f>
        <v>43637.665800000002</v>
      </c>
      <c r="G8" s="18"/>
      <c r="H8" s="16" t="s">
        <v>9</v>
      </c>
    </row>
    <row r="9" spans="1:9" x14ac:dyDescent="0.35">
      <c r="A9" s="13">
        <f>A8+1</f>
        <v>3</v>
      </c>
      <c r="B9" s="19" t="s">
        <v>10</v>
      </c>
      <c r="C9" s="19"/>
      <c r="D9" s="20">
        <f>D7+D8</f>
        <v>59581.279520000004</v>
      </c>
      <c r="E9" s="21"/>
      <c r="F9" s="20">
        <f>F7+F8</f>
        <v>60216.100319999998</v>
      </c>
      <c r="G9" s="21"/>
      <c r="H9" s="22"/>
    </row>
    <row r="10" spans="1:9" x14ac:dyDescent="0.35">
      <c r="A10" s="13"/>
      <c r="B10" s="12"/>
      <c r="C10" s="12"/>
      <c r="D10" s="24"/>
      <c r="E10" s="25"/>
      <c r="F10" s="25"/>
      <c r="G10" s="25"/>
      <c r="H10" s="22"/>
    </row>
    <row r="11" spans="1:9" x14ac:dyDescent="0.35">
      <c r="A11" s="13">
        <f>A9+1</f>
        <v>4</v>
      </c>
      <c r="B11" s="12" t="s">
        <v>11</v>
      </c>
      <c r="C11" s="12"/>
      <c r="D11" s="26">
        <v>5280</v>
      </c>
      <c r="E11" s="27"/>
      <c r="F11" s="26">
        <v>5280</v>
      </c>
      <c r="G11" s="28"/>
      <c r="H11" s="22"/>
      <c r="I11" s="23"/>
    </row>
    <row r="12" spans="1:9" x14ac:dyDescent="0.35">
      <c r="A12" s="13">
        <f>A11+1</f>
        <v>5</v>
      </c>
      <c r="B12" s="12" t="s">
        <v>12</v>
      </c>
      <c r="C12" s="12"/>
      <c r="D12" s="29">
        <v>37506.9</v>
      </c>
      <c r="E12" s="30"/>
      <c r="F12" s="26">
        <v>38750.019999999997</v>
      </c>
      <c r="G12" s="31"/>
      <c r="H12" s="22"/>
    </row>
    <row r="13" spans="1:9" x14ac:dyDescent="0.35">
      <c r="A13" s="13">
        <f>A12+1</f>
        <v>6</v>
      </c>
      <c r="B13" s="12" t="s">
        <v>13</v>
      </c>
      <c r="C13" s="32" t="s">
        <v>14</v>
      </c>
      <c r="D13" s="29">
        <v>603</v>
      </c>
      <c r="E13" s="30"/>
      <c r="F13" s="26">
        <v>603</v>
      </c>
      <c r="G13" s="31"/>
      <c r="H13" s="33"/>
    </row>
    <row r="14" spans="1:9" x14ac:dyDescent="0.35">
      <c r="A14" s="13"/>
      <c r="B14" s="12"/>
      <c r="C14" s="32" t="s">
        <v>15</v>
      </c>
      <c r="D14" s="29">
        <v>97903.76</v>
      </c>
      <c r="E14" s="34" t="s">
        <v>16</v>
      </c>
      <c r="F14" s="29">
        <v>97903.76</v>
      </c>
      <c r="G14" s="31"/>
      <c r="H14" s="33"/>
    </row>
    <row r="15" spans="1:9" x14ac:dyDescent="0.35">
      <c r="A15" s="13"/>
      <c r="B15" s="12"/>
      <c r="D15" s="35"/>
      <c r="E15" s="30"/>
      <c r="F15" s="31"/>
      <c r="G15" s="31"/>
      <c r="H15" s="36"/>
    </row>
    <row r="16" spans="1:9" x14ac:dyDescent="0.35">
      <c r="A16" s="13">
        <v>7</v>
      </c>
      <c r="B16" s="12" t="s">
        <v>17</v>
      </c>
      <c r="C16" s="12"/>
      <c r="D16" s="37">
        <f>D11+D12+D13+D14</f>
        <v>141293.66</v>
      </c>
      <c r="E16" s="15"/>
      <c r="F16" s="14">
        <f>F11+F12+F13+F14</f>
        <v>142536.78</v>
      </c>
      <c r="G16" s="15"/>
      <c r="H16" s="38"/>
    </row>
    <row r="17" spans="1:9" x14ac:dyDescent="0.35">
      <c r="D17" s="39"/>
      <c r="H17" s="38"/>
    </row>
    <row r="18" spans="1:9" x14ac:dyDescent="0.35">
      <c r="A18" s="13">
        <f>A16+1</f>
        <v>8</v>
      </c>
      <c r="B18" s="12" t="s">
        <v>18</v>
      </c>
      <c r="C18" s="12"/>
      <c r="D18" s="37">
        <f>D19+D20+D21+D22</f>
        <v>2766387.62</v>
      </c>
      <c r="E18" s="31"/>
      <c r="F18" s="37">
        <f>F19+F20+F21+F22</f>
        <v>2763072.42</v>
      </c>
      <c r="G18" s="31"/>
      <c r="H18" s="23"/>
    </row>
    <row r="19" spans="1:9" x14ac:dyDescent="0.35">
      <c r="A19" s="13"/>
      <c r="B19" s="12"/>
      <c r="C19" s="12" t="s">
        <v>19</v>
      </c>
      <c r="D19" s="29">
        <v>1421566.75</v>
      </c>
      <c r="E19" s="31"/>
      <c r="F19" s="29">
        <v>1421566.75</v>
      </c>
      <c r="G19" s="31"/>
      <c r="H19" s="23"/>
      <c r="I19" s="23"/>
    </row>
    <row r="20" spans="1:9" x14ac:dyDescent="0.35">
      <c r="A20" s="13"/>
      <c r="B20" s="12"/>
      <c r="C20" s="12" t="s">
        <v>102</v>
      </c>
      <c r="D20" s="29">
        <v>10416</v>
      </c>
      <c r="E20" s="31" t="s">
        <v>21</v>
      </c>
      <c r="F20" s="29">
        <v>7280.35</v>
      </c>
      <c r="G20" s="31" t="s">
        <v>22</v>
      </c>
    </row>
    <row r="21" spans="1:9" x14ac:dyDescent="0.35">
      <c r="A21" s="13"/>
      <c r="B21" s="12"/>
      <c r="C21" s="12" t="s">
        <v>23</v>
      </c>
      <c r="D21" s="29">
        <v>0</v>
      </c>
      <c r="E21" s="31"/>
      <c r="F21" s="29">
        <v>0</v>
      </c>
      <c r="G21" s="31"/>
    </row>
    <row r="22" spans="1:9" x14ac:dyDescent="0.35">
      <c r="A22" s="13"/>
      <c r="B22" s="12"/>
      <c r="C22" s="12" t="s">
        <v>24</v>
      </c>
      <c r="D22" s="29">
        <v>1334404.8700000001</v>
      </c>
      <c r="E22" s="31"/>
      <c r="F22" s="29">
        <v>1334225.32</v>
      </c>
      <c r="G22" s="31"/>
    </row>
    <row r="23" spans="1:9" x14ac:dyDescent="0.35">
      <c r="A23" s="13"/>
      <c r="B23" s="12"/>
      <c r="C23" s="12"/>
      <c r="D23" s="29"/>
      <c r="E23" s="31"/>
      <c r="F23" s="29"/>
      <c r="G23" s="31"/>
    </row>
    <row r="24" spans="1:9" x14ac:dyDescent="0.35">
      <c r="A24" s="13">
        <v>9</v>
      </c>
      <c r="B24" s="12" t="s">
        <v>25</v>
      </c>
      <c r="C24" s="12"/>
      <c r="D24" s="38">
        <f>IF((D16/D18)&gt;=0.02,0.02*D18,D16)</f>
        <v>55327.752400000005</v>
      </c>
      <c r="E24" s="40"/>
      <c r="F24" s="38">
        <f>IF((F16/F18)&gt;=0.02,0.02*F18,F16)</f>
        <v>55261.448400000001</v>
      </c>
      <c r="G24" s="40"/>
      <c r="H24" s="12"/>
    </row>
    <row r="25" spans="1:9" x14ac:dyDescent="0.35">
      <c r="A25" s="13"/>
      <c r="B25" s="12"/>
      <c r="C25" s="12"/>
      <c r="D25" s="40"/>
      <c r="E25" s="40"/>
      <c r="F25" s="40"/>
      <c r="G25" s="40"/>
      <c r="H25" s="12"/>
    </row>
    <row r="26" spans="1:9" x14ac:dyDescent="0.35">
      <c r="A26" s="13">
        <f>A24+1</f>
        <v>10</v>
      </c>
      <c r="B26" s="12" t="s">
        <v>26</v>
      </c>
      <c r="C26" s="12"/>
      <c r="D26" s="41">
        <f>(D11+D12+D13+D14)/D18</f>
        <v>5.1075149042201104E-2</v>
      </c>
      <c r="E26" s="41"/>
      <c r="F26" s="41">
        <f>(F11+F12+F13+F14)/F18</f>
        <v>5.1586335185525106E-2</v>
      </c>
      <c r="G26" s="41"/>
      <c r="H26" s="12"/>
    </row>
    <row r="27" spans="1:9" x14ac:dyDescent="0.35">
      <c r="B27" s="12"/>
      <c r="C27" s="12"/>
      <c r="D27" s="41"/>
      <c r="E27" s="41"/>
      <c r="F27" s="41"/>
      <c r="G27" s="41"/>
      <c r="H27" s="12"/>
    </row>
    <row r="28" spans="1:9" x14ac:dyDescent="0.35">
      <c r="B28" s="12"/>
      <c r="C28" s="12"/>
      <c r="D28" s="41"/>
      <c r="E28" s="41"/>
      <c r="F28" s="41"/>
      <c r="G28" s="41"/>
      <c r="H28" s="12"/>
    </row>
    <row r="29" spans="1:9" x14ac:dyDescent="0.35">
      <c r="A29" s="204" t="s">
        <v>27</v>
      </c>
      <c r="B29" s="204"/>
      <c r="C29" s="42"/>
    </row>
    <row r="30" spans="1:9" ht="15.75" customHeight="1" x14ac:dyDescent="0.35">
      <c r="A30" s="43" t="s">
        <v>28</v>
      </c>
      <c r="B30" s="44"/>
      <c r="C30" s="44"/>
      <c r="D30" s="45" t="s">
        <v>29</v>
      </c>
    </row>
    <row r="31" spans="1:9" ht="15.75" customHeight="1" x14ac:dyDescent="0.35">
      <c r="A31" s="43" t="s">
        <v>30</v>
      </c>
      <c r="B31" s="43"/>
      <c r="C31" s="44"/>
    </row>
    <row r="32" spans="1:9" ht="15" customHeight="1" x14ac:dyDescent="0.35">
      <c r="A32" s="43" t="s">
        <v>31</v>
      </c>
      <c r="B32" s="43"/>
      <c r="C32" s="44"/>
    </row>
    <row r="33" spans="1:3" ht="15.75" customHeight="1" x14ac:dyDescent="0.35">
      <c r="A33" s="43" t="s">
        <v>32</v>
      </c>
      <c r="B33" s="43"/>
      <c r="C33" s="44"/>
    </row>
    <row r="34" spans="1:3" ht="15.75" customHeight="1" x14ac:dyDescent="0.35">
      <c r="A34" s="43" t="s">
        <v>33</v>
      </c>
      <c r="B34" s="43"/>
      <c r="C34" s="44"/>
    </row>
    <row r="35" spans="1:3" ht="15.75" customHeight="1" x14ac:dyDescent="0.35">
      <c r="A35" s="43" t="s">
        <v>34</v>
      </c>
      <c r="B35" s="43"/>
      <c r="C35" s="44"/>
    </row>
    <row r="36" spans="1:3" ht="15.75" customHeight="1" x14ac:dyDescent="0.35">
      <c r="A36" s="43" t="s">
        <v>35</v>
      </c>
      <c r="B36" s="43"/>
      <c r="C36" s="44"/>
    </row>
    <row r="37" spans="1:3" ht="15.75" customHeight="1" x14ac:dyDescent="0.35">
      <c r="A37" s="43" t="s">
        <v>36</v>
      </c>
      <c r="B37" s="43"/>
      <c r="C37" s="44"/>
    </row>
    <row r="39" spans="1:3" x14ac:dyDescent="0.35">
      <c r="A39" s="46" t="s">
        <v>37</v>
      </c>
    </row>
    <row r="41" spans="1:3" x14ac:dyDescent="0.35">
      <c r="A41" s="47"/>
    </row>
    <row r="42" spans="1:3" x14ac:dyDescent="0.35">
      <c r="A42" s="47"/>
    </row>
    <row r="43" spans="1:3" x14ac:dyDescent="0.35">
      <c r="A43" s="47"/>
    </row>
  </sheetData>
  <mergeCells count="1">
    <mergeCell ref="A29:B29"/>
  </mergeCells>
  <pageMargins left="0.25" right="0.25" top="0.75" bottom="0.75" header="0.3" footer="0.3"/>
  <pageSetup scale="86" orientation="portrait" r:id="rId1"/>
  <headerFooter>
    <oddHeader xml:space="preserve">&amp;RKY PSC CN 2020-00378  
 Staff's Data Request Set 1 No. 5 Attachment C  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Layout" zoomScaleNormal="100" workbookViewId="0">
      <selection activeCell="L2" sqref="L2"/>
    </sheetView>
  </sheetViews>
  <sheetFormatPr defaultRowHeight="14.5" x14ac:dyDescent="0.35"/>
  <cols>
    <col min="1" max="1" width="15.26953125" customWidth="1"/>
    <col min="2" max="2" width="11.7265625" style="48" customWidth="1"/>
    <col min="3" max="3" width="9.26953125" style="48" customWidth="1"/>
    <col min="4" max="4" width="9.81640625" style="48" customWidth="1"/>
    <col min="5" max="5" width="7.81640625" style="48" customWidth="1"/>
    <col min="6" max="6" width="9.7265625" style="48" customWidth="1"/>
    <col min="7" max="7" width="10" style="49" customWidth="1"/>
    <col min="8" max="8" width="23.54296875" customWidth="1"/>
    <col min="9" max="9" width="1.453125" customWidth="1"/>
    <col min="10" max="10" width="15.26953125" style="50" customWidth="1"/>
    <col min="11" max="11" width="3.7265625" style="50" customWidth="1"/>
    <col min="12" max="12" width="22.453125" customWidth="1"/>
    <col min="14" max="14" width="16" customWidth="1"/>
    <col min="15" max="15" width="12.81640625" customWidth="1"/>
    <col min="16" max="16" width="11.81640625" bestFit="1" customWidth="1"/>
  </cols>
  <sheetData>
    <row r="1" spans="1:14" ht="18.5" x14ac:dyDescent="0.45">
      <c r="A1" s="1" t="s">
        <v>38</v>
      </c>
    </row>
    <row r="2" spans="1:14" ht="18.5" x14ac:dyDescent="0.45">
      <c r="A2" s="1"/>
    </row>
    <row r="3" spans="1:14" ht="18.5" x14ac:dyDescent="0.45">
      <c r="A3" s="1" t="s">
        <v>39</v>
      </c>
      <c r="B3" s="51">
        <f>'June 20 TCPS CALC'!C3</f>
        <v>43983</v>
      </c>
      <c r="C3" s="52"/>
    </row>
    <row r="5" spans="1:14" x14ac:dyDescent="0.35">
      <c r="D5" s="53" t="s">
        <v>40</v>
      </c>
      <c r="E5" s="53" t="s">
        <v>41</v>
      </c>
    </row>
    <row r="6" spans="1:14" x14ac:dyDescent="0.35">
      <c r="C6" s="54" t="s">
        <v>42</v>
      </c>
      <c r="D6" s="54" t="s">
        <v>43</v>
      </c>
      <c r="E6" s="54" t="s">
        <v>44</v>
      </c>
      <c r="F6" s="54" t="s">
        <v>45</v>
      </c>
      <c r="G6" s="55" t="s">
        <v>46</v>
      </c>
      <c r="H6" s="54" t="s">
        <v>47</v>
      </c>
      <c r="J6" s="56" t="s">
        <v>48</v>
      </c>
      <c r="K6" s="56"/>
      <c r="L6" s="56" t="s">
        <v>49</v>
      </c>
    </row>
    <row r="7" spans="1:14" x14ac:dyDescent="0.35">
      <c r="A7" t="s">
        <v>50</v>
      </c>
      <c r="B7" s="48" t="s">
        <v>51</v>
      </c>
      <c r="C7" s="48" t="s">
        <v>52</v>
      </c>
      <c r="D7" s="48">
        <v>352234</v>
      </c>
      <c r="E7" s="48" t="s">
        <v>53</v>
      </c>
      <c r="F7" s="57">
        <v>16000</v>
      </c>
      <c r="G7" s="58">
        <v>4.5805999999999996</v>
      </c>
      <c r="H7" s="59" t="s">
        <v>54</v>
      </c>
      <c r="J7" s="50">
        <f>F7*G7</f>
        <v>73289.599999999991</v>
      </c>
      <c r="K7" s="60"/>
      <c r="L7" s="50">
        <f>F7*G7</f>
        <v>73289.599999999991</v>
      </c>
      <c r="M7" s="61"/>
      <c r="N7" s="50"/>
    </row>
    <row r="8" spans="1:14" x14ac:dyDescent="0.35">
      <c r="C8" s="48" t="s">
        <v>55</v>
      </c>
      <c r="D8" s="48">
        <v>80160</v>
      </c>
      <c r="E8" s="48" t="s">
        <v>56</v>
      </c>
      <c r="F8" s="57">
        <v>104940</v>
      </c>
      <c r="G8" s="58">
        <v>4.1849999999999996</v>
      </c>
      <c r="H8" s="59" t="s">
        <v>54</v>
      </c>
      <c r="J8" s="50">
        <f>F8*G8</f>
        <v>439173.89999999997</v>
      </c>
      <c r="K8" s="60"/>
      <c r="L8" s="50">
        <f>F8*G8</f>
        <v>439173.89999999997</v>
      </c>
      <c r="N8" s="50"/>
    </row>
    <row r="9" spans="1:14" x14ac:dyDescent="0.35">
      <c r="F9" s="57"/>
      <c r="G9" s="58"/>
      <c r="H9" s="59"/>
      <c r="J9" s="62"/>
      <c r="K9" s="60"/>
      <c r="L9" s="62"/>
      <c r="N9" s="50"/>
    </row>
    <row r="10" spans="1:14" x14ac:dyDescent="0.35">
      <c r="F10" s="57"/>
      <c r="G10" s="58"/>
      <c r="H10" s="59"/>
      <c r="J10" s="50">
        <f>SUM(J7:J9)</f>
        <v>512463.49999999994</v>
      </c>
      <c r="K10" s="63"/>
      <c r="L10" s="50">
        <f>SUM(L7:L9)</f>
        <v>512463.49999999994</v>
      </c>
    </row>
    <row r="11" spans="1:14" x14ac:dyDescent="0.35">
      <c r="D11" s="48">
        <v>0</v>
      </c>
      <c r="F11" s="57"/>
      <c r="G11" s="58"/>
      <c r="H11" s="59"/>
      <c r="K11" s="63"/>
      <c r="L11" s="50"/>
    </row>
    <row r="12" spans="1:14" x14ac:dyDescent="0.35">
      <c r="D12" s="48">
        <v>0</v>
      </c>
      <c r="F12" s="64"/>
      <c r="G12" s="65" t="s">
        <v>57</v>
      </c>
      <c r="H12" s="59"/>
      <c r="K12" s="63"/>
      <c r="L12" s="50"/>
    </row>
    <row r="13" spans="1:14" x14ac:dyDescent="0.35">
      <c r="A13" t="s">
        <v>58</v>
      </c>
      <c r="B13" s="48" t="s">
        <v>59</v>
      </c>
      <c r="C13" s="48" t="s">
        <v>52</v>
      </c>
      <c r="D13" s="48">
        <v>352234</v>
      </c>
      <c r="E13" s="48" t="s">
        <v>53</v>
      </c>
      <c r="F13" s="57">
        <v>16000</v>
      </c>
      <c r="G13" s="58">
        <v>4.5805999999999996</v>
      </c>
      <c r="H13" s="59" t="s">
        <v>60</v>
      </c>
      <c r="J13" s="50">
        <f>F13*G13</f>
        <v>73289.599999999991</v>
      </c>
      <c r="K13" s="60"/>
      <c r="L13" s="50">
        <f>F13*G13</f>
        <v>73289.599999999991</v>
      </c>
      <c r="N13" s="50"/>
    </row>
    <row r="14" spans="1:14" x14ac:dyDescent="0.35">
      <c r="C14" s="48" t="s">
        <v>55</v>
      </c>
      <c r="D14" s="48">
        <v>80160</v>
      </c>
      <c r="E14" s="48" t="s">
        <v>56</v>
      </c>
      <c r="F14" s="57">
        <v>104940</v>
      </c>
      <c r="G14" s="58">
        <v>4.1849999999999996</v>
      </c>
      <c r="H14" s="59" t="s">
        <v>60</v>
      </c>
      <c r="J14" s="50">
        <f>F14*G14</f>
        <v>439173.89999999997</v>
      </c>
      <c r="K14" s="60"/>
      <c r="L14" s="50">
        <f>F14*G14</f>
        <v>439173.89999999997</v>
      </c>
      <c r="N14" s="50"/>
    </row>
    <row r="15" spans="1:14" x14ac:dyDescent="0.35">
      <c r="F15" s="57"/>
      <c r="G15" s="58"/>
      <c r="H15" s="59"/>
      <c r="K15" s="60"/>
      <c r="L15" s="66"/>
      <c r="N15" s="50"/>
    </row>
    <row r="16" spans="1:14" x14ac:dyDescent="0.35">
      <c r="F16" s="57"/>
      <c r="G16" s="58"/>
      <c r="H16" s="59"/>
      <c r="J16" s="67"/>
      <c r="L16" s="67"/>
    </row>
    <row r="17" spans="1:16" x14ac:dyDescent="0.35">
      <c r="H17" s="59"/>
      <c r="J17" s="50">
        <f>SUM(J13:J16)</f>
        <v>512463.49999999994</v>
      </c>
      <c r="L17" s="50">
        <f>SUM(L13:L16)</f>
        <v>512463.49999999994</v>
      </c>
    </row>
    <row r="18" spans="1:16" x14ac:dyDescent="0.35">
      <c r="D18" s="48">
        <v>0</v>
      </c>
      <c r="H18" s="59"/>
      <c r="L18" s="50"/>
    </row>
    <row r="19" spans="1:16" x14ac:dyDescent="0.35">
      <c r="A19" s="72" t="s">
        <v>61</v>
      </c>
      <c r="C19" s="53" t="s">
        <v>62</v>
      </c>
      <c r="D19" s="53" t="s">
        <v>55</v>
      </c>
      <c r="F19" s="57">
        <v>40000</v>
      </c>
      <c r="G19" s="58">
        <v>0.13200000000000001</v>
      </c>
      <c r="H19" s="59"/>
      <c r="J19" s="67">
        <f>F19*G19</f>
        <v>5280</v>
      </c>
      <c r="L19" s="67">
        <f>F19*G19</f>
        <v>5280</v>
      </c>
    </row>
    <row r="20" spans="1:16" x14ac:dyDescent="0.35">
      <c r="A20" s="72" t="s">
        <v>61</v>
      </c>
      <c r="C20" s="53" t="s">
        <v>62</v>
      </c>
      <c r="D20" s="53" t="s">
        <v>63</v>
      </c>
      <c r="F20" s="57">
        <v>0</v>
      </c>
      <c r="G20" s="58">
        <v>0</v>
      </c>
      <c r="H20" s="59"/>
      <c r="J20" s="67">
        <v>0</v>
      </c>
      <c r="L20" s="67">
        <v>0</v>
      </c>
    </row>
    <row r="21" spans="1:16" x14ac:dyDescent="0.35">
      <c r="A21" s="72" t="s">
        <v>61</v>
      </c>
      <c r="C21" s="53" t="s">
        <v>62</v>
      </c>
      <c r="D21" s="53" t="s">
        <v>63</v>
      </c>
      <c r="F21" s="57">
        <v>0</v>
      </c>
      <c r="G21" s="58">
        <v>0</v>
      </c>
      <c r="H21" s="59"/>
      <c r="J21" s="67">
        <v>0</v>
      </c>
      <c r="L21" s="67">
        <v>0</v>
      </c>
    </row>
    <row r="22" spans="1:16" x14ac:dyDescent="0.35">
      <c r="A22" s="72" t="s">
        <v>61</v>
      </c>
      <c r="C22" s="53" t="s">
        <v>62</v>
      </c>
      <c r="D22" s="53" t="s">
        <v>63</v>
      </c>
      <c r="F22" s="57">
        <v>0</v>
      </c>
      <c r="G22" s="58">
        <v>0</v>
      </c>
      <c r="H22" s="59"/>
      <c r="J22" s="67">
        <v>0</v>
      </c>
      <c r="L22" s="67">
        <v>0</v>
      </c>
    </row>
    <row r="23" spans="1:16" x14ac:dyDescent="0.35">
      <c r="A23" s="72" t="s">
        <v>61</v>
      </c>
      <c r="C23" s="53" t="s">
        <v>62</v>
      </c>
      <c r="D23" s="53" t="s">
        <v>63</v>
      </c>
      <c r="F23" s="57">
        <v>0</v>
      </c>
      <c r="G23" s="58">
        <v>0</v>
      </c>
      <c r="H23" s="59"/>
      <c r="J23" s="67">
        <v>0</v>
      </c>
      <c r="L23" s="67">
        <v>0</v>
      </c>
    </row>
    <row r="24" spans="1:16" x14ac:dyDescent="0.35">
      <c r="A24" s="72" t="s">
        <v>61</v>
      </c>
      <c r="C24" s="53" t="s">
        <v>64</v>
      </c>
      <c r="D24" s="53" t="s">
        <v>65</v>
      </c>
      <c r="F24" s="57">
        <v>0</v>
      </c>
      <c r="G24" s="58">
        <v>0</v>
      </c>
      <c r="H24" s="59"/>
      <c r="J24" s="67">
        <v>0</v>
      </c>
      <c r="L24" s="67">
        <v>0</v>
      </c>
    </row>
    <row r="25" spans="1:16" x14ac:dyDescent="0.35">
      <c r="H25" s="59"/>
      <c r="L25" s="50"/>
    </row>
    <row r="26" spans="1:16" x14ac:dyDescent="0.35">
      <c r="H26" s="71" t="s">
        <v>66</v>
      </c>
      <c r="J26" s="73">
        <f>J10-J17+J19+J23+J22+J21+J24+J20</f>
        <v>5280</v>
      </c>
      <c r="K26" s="74"/>
      <c r="L26" s="73">
        <f>L10-L17+L19+L23+L22+L21+L24+L20</f>
        <v>5280</v>
      </c>
      <c r="N26" s="50"/>
      <c r="O26" s="50"/>
      <c r="P26" s="50"/>
    </row>
    <row r="29" spans="1:16" x14ac:dyDescent="0.35">
      <c r="A29" s="75"/>
    </row>
    <row r="30" spans="1:16" x14ac:dyDescent="0.35">
      <c r="A30" s="76"/>
    </row>
    <row r="32" spans="1:16" x14ac:dyDescent="0.35">
      <c r="B32" s="77" t="s">
        <v>67</v>
      </c>
      <c r="C32" s="77"/>
      <c r="D32" s="77"/>
      <c r="E32" s="77"/>
      <c r="F32" s="77"/>
      <c r="G32" s="78"/>
    </row>
    <row r="33" spans="1:7" x14ac:dyDescent="0.35">
      <c r="A33" s="72" t="s">
        <v>68</v>
      </c>
      <c r="B33" s="77"/>
      <c r="C33" s="77"/>
      <c r="D33" s="77"/>
      <c r="E33" s="77"/>
      <c r="F33" s="77"/>
      <c r="G33" s="78"/>
    </row>
    <row r="34" spans="1:7" x14ac:dyDescent="0.35">
      <c r="B34" s="77" t="s">
        <v>69</v>
      </c>
      <c r="C34" s="77"/>
      <c r="D34" s="77"/>
      <c r="E34" s="77"/>
      <c r="F34" s="77"/>
      <c r="G34" s="78"/>
    </row>
    <row r="35" spans="1:7" x14ac:dyDescent="0.35">
      <c r="A35" s="72" t="s">
        <v>70</v>
      </c>
      <c r="B35" s="77"/>
      <c r="C35" s="77"/>
      <c r="D35" s="77"/>
      <c r="E35" s="77"/>
      <c r="F35" s="77"/>
      <c r="G35" s="78"/>
    </row>
    <row r="36" spans="1:7" x14ac:dyDescent="0.35">
      <c r="A36" s="72"/>
      <c r="B36" s="77" t="s">
        <v>71</v>
      </c>
      <c r="C36" s="77"/>
      <c r="D36" s="77"/>
      <c r="E36" s="77"/>
      <c r="F36" s="77"/>
      <c r="G36" s="78"/>
    </row>
    <row r="37" spans="1:7" x14ac:dyDescent="0.35">
      <c r="A37" s="72" t="s">
        <v>72</v>
      </c>
    </row>
  </sheetData>
  <pageMargins left="0.17" right="0.17" top="0.66" bottom="0.55000000000000004" header="0.24" footer="0.33"/>
  <pageSetup scale="74" fitToHeight="0" orientation="portrait" r:id="rId1"/>
  <headerFooter>
    <oddHeader xml:space="preserve">&amp;RKY PSC CN 2020-00378  
 Staff's Data Request Set 1 No. 5 Attachment C  
</oddHead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2"/>
  <sheetViews>
    <sheetView view="pageLayout" zoomScaleNormal="100" workbookViewId="0">
      <selection activeCell="L2" sqref="L2"/>
    </sheetView>
  </sheetViews>
  <sheetFormatPr defaultColWidth="9.1796875" defaultRowHeight="12.5" x14ac:dyDescent="0.25"/>
  <cols>
    <col min="1" max="1" width="9.1796875" style="87" customWidth="1"/>
    <col min="2" max="2" width="10.1796875" style="81" customWidth="1"/>
    <col min="3" max="3" width="11.1796875" style="81" customWidth="1"/>
    <col min="4" max="4" width="9.26953125" style="81" customWidth="1"/>
    <col min="5" max="5" width="10.81640625" style="81" customWidth="1"/>
    <col min="6" max="6" width="13.26953125" style="81" customWidth="1"/>
    <col min="7" max="7" width="13" style="81" customWidth="1"/>
    <col min="8" max="8" width="10.1796875" style="81" customWidth="1"/>
    <col min="9" max="9" width="14.54296875" style="81" customWidth="1"/>
    <col min="10" max="13" width="10.1796875" style="81" customWidth="1"/>
    <col min="14" max="14" width="8.453125" style="81" hidden="1" customWidth="1"/>
    <col min="15" max="15" width="1.453125" style="82" customWidth="1"/>
    <col min="16" max="16" width="11" style="82" hidden="1" customWidth="1"/>
    <col min="17" max="17" width="11.453125" style="82" customWidth="1"/>
    <col min="18" max="16384" width="9.1796875" style="82"/>
  </cols>
  <sheetData>
    <row r="1" spans="1:16" ht="18" x14ac:dyDescent="0.4">
      <c r="A1" s="79" t="s">
        <v>73</v>
      </c>
      <c r="B1" s="80"/>
      <c r="C1" s="80"/>
      <c r="D1" s="80"/>
    </row>
    <row r="2" spans="1:16" ht="18" x14ac:dyDescent="0.4">
      <c r="A2" s="79"/>
      <c r="B2" s="80"/>
      <c r="C2" s="80"/>
      <c r="D2" s="80"/>
    </row>
    <row r="3" spans="1:16" ht="18" x14ac:dyDescent="0.4">
      <c r="A3" s="79" t="s">
        <v>74</v>
      </c>
      <c r="B3" s="83"/>
      <c r="C3" s="84">
        <f>'June 20 TCPS CALC'!C3</f>
        <v>43983</v>
      </c>
      <c r="E3" s="85"/>
      <c r="F3" s="85"/>
      <c r="G3" s="85"/>
      <c r="H3" s="85"/>
      <c r="I3" s="85"/>
      <c r="J3" s="85"/>
      <c r="K3" s="85"/>
      <c r="L3" s="85"/>
      <c r="M3" s="86"/>
    </row>
    <row r="5" spans="1:16" ht="13" thickBot="1" x14ac:dyDescent="0.3"/>
    <row r="6" spans="1:16" ht="13" x14ac:dyDescent="0.3">
      <c r="H6" s="206" t="s">
        <v>75</v>
      </c>
      <c r="I6" s="207"/>
      <c r="J6" s="207"/>
      <c r="K6" s="208" t="s">
        <v>76</v>
      </c>
      <c r="L6" s="209"/>
      <c r="M6" s="210"/>
      <c r="P6" s="81" t="s">
        <v>77</v>
      </c>
    </row>
    <row r="7" spans="1:16" ht="13" x14ac:dyDescent="0.3">
      <c r="A7" s="88" t="s">
        <v>78</v>
      </c>
      <c r="B7" s="211" t="s">
        <v>79</v>
      </c>
      <c r="C7" s="212"/>
      <c r="D7" s="213"/>
      <c r="E7" s="214" t="s">
        <v>80</v>
      </c>
      <c r="F7" s="215"/>
      <c r="G7" s="216"/>
      <c r="H7" s="212" t="s">
        <v>81</v>
      </c>
      <c r="I7" s="212"/>
      <c r="J7" s="212"/>
      <c r="K7" s="217" t="s">
        <v>82</v>
      </c>
      <c r="L7" s="218"/>
      <c r="M7" s="219"/>
      <c r="P7" s="81" t="s">
        <v>83</v>
      </c>
    </row>
    <row r="8" spans="1:16" ht="13" x14ac:dyDescent="0.3">
      <c r="A8" s="89" t="s">
        <v>84</v>
      </c>
      <c r="B8" s="90" t="s">
        <v>85</v>
      </c>
      <c r="C8" s="91" t="s">
        <v>86</v>
      </c>
      <c r="D8" s="92" t="s">
        <v>87</v>
      </c>
      <c r="E8" s="93" t="s">
        <v>85</v>
      </c>
      <c r="F8" s="94" t="s">
        <v>86</v>
      </c>
      <c r="G8" s="95" t="s">
        <v>87</v>
      </c>
      <c r="H8" s="91" t="s">
        <v>85</v>
      </c>
      <c r="I8" s="91" t="s">
        <v>86</v>
      </c>
      <c r="J8" s="91" t="s">
        <v>87</v>
      </c>
      <c r="K8" s="96" t="s">
        <v>85</v>
      </c>
      <c r="L8" s="97" t="s">
        <v>86</v>
      </c>
      <c r="M8" s="98" t="s">
        <v>87</v>
      </c>
      <c r="N8" s="99" t="s">
        <v>84</v>
      </c>
      <c r="P8" s="100" t="s">
        <v>88</v>
      </c>
    </row>
    <row r="9" spans="1:16" ht="13" x14ac:dyDescent="0.3">
      <c r="A9" s="101"/>
      <c r="B9" s="102"/>
      <c r="C9" s="103"/>
      <c r="D9" s="104"/>
      <c r="E9" s="105"/>
      <c r="F9" s="106"/>
      <c r="G9" s="107"/>
      <c r="H9" s="108"/>
      <c r="I9" s="108" t="s">
        <v>89</v>
      </c>
      <c r="J9" s="109"/>
      <c r="K9" s="110"/>
      <c r="L9" s="111"/>
      <c r="M9" s="112"/>
    </row>
    <row r="10" spans="1:16" ht="13" x14ac:dyDescent="0.3">
      <c r="A10" s="87">
        <f>C3</f>
        <v>43983</v>
      </c>
      <c r="B10" s="113">
        <v>1.47</v>
      </c>
      <c r="C10" s="114">
        <v>1.55</v>
      </c>
      <c r="D10" s="115">
        <v>1.65</v>
      </c>
      <c r="E10" s="116">
        <v>1.44</v>
      </c>
      <c r="F10" s="117">
        <v>1.48</v>
      </c>
      <c r="G10" s="118">
        <v>1.52</v>
      </c>
      <c r="H10" s="113">
        <v>1.51</v>
      </c>
      <c r="I10" s="114">
        <v>1.59</v>
      </c>
      <c r="J10" s="115">
        <v>1.62</v>
      </c>
      <c r="K10" s="119">
        <f t="shared" ref="K10:M37" si="0">AVERAGE(B10,E10,H10)</f>
        <v>1.4733333333333334</v>
      </c>
      <c r="L10" s="120">
        <f t="shared" si="0"/>
        <v>1.54</v>
      </c>
      <c r="M10" s="121">
        <f t="shared" si="0"/>
        <v>1.5966666666666667</v>
      </c>
      <c r="N10" s="87">
        <f t="shared" ref="N10:N39" si="1">A10</f>
        <v>43983</v>
      </c>
      <c r="P10" s="122">
        <f>H10-E10</f>
        <v>7.0000000000000062E-2</v>
      </c>
    </row>
    <row r="11" spans="1:16" ht="13" x14ac:dyDescent="0.3">
      <c r="A11" s="87">
        <f>A10+1</f>
        <v>43984</v>
      </c>
      <c r="B11" s="123">
        <f t="shared" ref="B11:B39" si="2">$B$10</f>
        <v>1.47</v>
      </c>
      <c r="C11" s="124">
        <f>$C$10</f>
        <v>1.55</v>
      </c>
      <c r="D11" s="125">
        <f>$D$10</f>
        <v>1.65</v>
      </c>
      <c r="E11" s="116">
        <v>1.36</v>
      </c>
      <c r="F11" s="117">
        <v>1.405</v>
      </c>
      <c r="G11" s="118">
        <v>1.5249999999999999</v>
      </c>
      <c r="H11" s="128">
        <v>1.46</v>
      </c>
      <c r="I11" s="128">
        <v>1.52</v>
      </c>
      <c r="J11" s="128">
        <v>1.66</v>
      </c>
      <c r="K11" s="119">
        <f t="shared" si="0"/>
        <v>1.43</v>
      </c>
      <c r="L11" s="120">
        <f t="shared" si="0"/>
        <v>1.4916666666666665</v>
      </c>
      <c r="M11" s="121">
        <f t="shared" si="0"/>
        <v>1.6116666666666666</v>
      </c>
      <c r="N11" s="127">
        <f t="shared" si="1"/>
        <v>43984</v>
      </c>
      <c r="P11" s="122">
        <f t="shared" ref="P11:P39" si="3">H11-E11</f>
        <v>9.9999999999999867E-2</v>
      </c>
    </row>
    <row r="12" spans="1:16" x14ac:dyDescent="0.25">
      <c r="A12" s="87">
        <f t="shared" ref="A12:A39" si="4">A11+1</f>
        <v>43985</v>
      </c>
      <c r="B12" s="123">
        <f t="shared" si="2"/>
        <v>1.47</v>
      </c>
      <c r="C12" s="124">
        <f t="shared" ref="C12:C39" si="5">$C$10</f>
        <v>1.55</v>
      </c>
      <c r="D12" s="125">
        <f t="shared" ref="D12:D39" si="6">$D$10</f>
        <v>1.65</v>
      </c>
      <c r="E12" s="116">
        <v>1.4350000000000001</v>
      </c>
      <c r="F12" s="117">
        <v>1.45</v>
      </c>
      <c r="G12" s="118">
        <v>1.595</v>
      </c>
      <c r="H12" s="126">
        <f t="shared" ref="H12:J17" si="7">H11</f>
        <v>1.46</v>
      </c>
      <c r="I12" s="126">
        <f t="shared" si="7"/>
        <v>1.52</v>
      </c>
      <c r="J12" s="126">
        <f t="shared" si="7"/>
        <v>1.66</v>
      </c>
      <c r="K12" s="119">
        <f t="shared" si="0"/>
        <v>1.4550000000000001</v>
      </c>
      <c r="L12" s="120">
        <f t="shared" si="0"/>
        <v>1.5066666666666666</v>
      </c>
      <c r="M12" s="121">
        <f t="shared" si="0"/>
        <v>1.635</v>
      </c>
      <c r="N12" s="87">
        <f t="shared" si="1"/>
        <v>43985</v>
      </c>
      <c r="P12" s="122">
        <f t="shared" si="3"/>
        <v>2.4999999999999911E-2</v>
      </c>
    </row>
    <row r="13" spans="1:16" x14ac:dyDescent="0.25">
      <c r="A13" s="87">
        <f t="shared" si="4"/>
        <v>43986</v>
      </c>
      <c r="B13" s="123">
        <f t="shared" si="2"/>
        <v>1.47</v>
      </c>
      <c r="C13" s="124">
        <f t="shared" si="5"/>
        <v>1.55</v>
      </c>
      <c r="D13" s="125">
        <f t="shared" si="6"/>
        <v>1.65</v>
      </c>
      <c r="E13" s="116">
        <v>1.5549999999999999</v>
      </c>
      <c r="F13" s="117">
        <v>1.655</v>
      </c>
      <c r="G13" s="118">
        <v>1.73</v>
      </c>
      <c r="H13" s="126">
        <f t="shared" si="7"/>
        <v>1.46</v>
      </c>
      <c r="I13" s="126">
        <f t="shared" si="7"/>
        <v>1.52</v>
      </c>
      <c r="J13" s="126">
        <f t="shared" si="7"/>
        <v>1.66</v>
      </c>
      <c r="K13" s="119">
        <f t="shared" si="0"/>
        <v>1.4949999999999999</v>
      </c>
      <c r="L13" s="120">
        <f t="shared" si="0"/>
        <v>1.575</v>
      </c>
      <c r="M13" s="121">
        <f t="shared" si="0"/>
        <v>1.68</v>
      </c>
      <c r="N13" s="87">
        <f t="shared" si="1"/>
        <v>43986</v>
      </c>
      <c r="P13" s="122">
        <f t="shared" si="3"/>
        <v>-9.4999999999999973E-2</v>
      </c>
    </row>
    <row r="14" spans="1:16" s="134" customFormat="1" x14ac:dyDescent="0.25">
      <c r="A14" s="129">
        <f t="shared" si="4"/>
        <v>43987</v>
      </c>
      <c r="B14" s="123">
        <f t="shared" si="2"/>
        <v>1.47</v>
      </c>
      <c r="C14" s="124">
        <f t="shared" si="5"/>
        <v>1.55</v>
      </c>
      <c r="D14" s="125">
        <f t="shared" si="6"/>
        <v>1.65</v>
      </c>
      <c r="E14" s="116">
        <v>1.5049999999999999</v>
      </c>
      <c r="F14" s="117">
        <v>1.605</v>
      </c>
      <c r="G14" s="118">
        <v>1.67</v>
      </c>
      <c r="H14" s="126">
        <f t="shared" si="7"/>
        <v>1.46</v>
      </c>
      <c r="I14" s="126">
        <f t="shared" si="7"/>
        <v>1.52</v>
      </c>
      <c r="J14" s="126">
        <f t="shared" si="7"/>
        <v>1.66</v>
      </c>
      <c r="K14" s="130">
        <f t="shared" si="0"/>
        <v>1.4783333333333333</v>
      </c>
      <c r="L14" s="131">
        <f t="shared" si="0"/>
        <v>1.5583333333333336</v>
      </c>
      <c r="M14" s="132">
        <f t="shared" si="0"/>
        <v>1.66</v>
      </c>
      <c r="N14" s="133">
        <f t="shared" si="1"/>
        <v>43987</v>
      </c>
      <c r="P14" s="135">
        <f t="shared" si="3"/>
        <v>-4.4999999999999929E-2</v>
      </c>
    </row>
    <row r="15" spans="1:16" s="134" customFormat="1" x14ac:dyDescent="0.25">
      <c r="A15" s="129">
        <f t="shared" si="4"/>
        <v>43988</v>
      </c>
      <c r="B15" s="123">
        <f t="shared" si="2"/>
        <v>1.47</v>
      </c>
      <c r="C15" s="124">
        <f t="shared" si="5"/>
        <v>1.55</v>
      </c>
      <c r="D15" s="125">
        <f t="shared" si="6"/>
        <v>1.65</v>
      </c>
      <c r="E15" s="116">
        <v>1.42</v>
      </c>
      <c r="F15" s="117">
        <v>1.53</v>
      </c>
      <c r="G15" s="118">
        <v>1.64</v>
      </c>
      <c r="H15" s="126">
        <f t="shared" si="7"/>
        <v>1.46</v>
      </c>
      <c r="I15" s="126">
        <f t="shared" si="7"/>
        <v>1.52</v>
      </c>
      <c r="J15" s="126">
        <f t="shared" si="7"/>
        <v>1.66</v>
      </c>
      <c r="K15" s="130">
        <f t="shared" si="0"/>
        <v>1.45</v>
      </c>
      <c r="L15" s="131">
        <f t="shared" si="0"/>
        <v>1.5333333333333332</v>
      </c>
      <c r="M15" s="132">
        <f t="shared" si="0"/>
        <v>1.6500000000000001</v>
      </c>
      <c r="N15" s="133">
        <f t="shared" si="1"/>
        <v>43988</v>
      </c>
      <c r="P15" s="122">
        <f t="shared" si="3"/>
        <v>4.0000000000000036E-2</v>
      </c>
    </row>
    <row r="16" spans="1:16" s="134" customFormat="1" ht="13" x14ac:dyDescent="0.3">
      <c r="A16" s="129">
        <f t="shared" si="4"/>
        <v>43989</v>
      </c>
      <c r="B16" s="123">
        <f t="shared" si="2"/>
        <v>1.47</v>
      </c>
      <c r="C16" s="124">
        <f t="shared" si="5"/>
        <v>1.55</v>
      </c>
      <c r="D16" s="125">
        <f t="shared" si="6"/>
        <v>1.65</v>
      </c>
      <c r="E16" s="116">
        <v>1.42</v>
      </c>
      <c r="F16" s="117">
        <v>1.53</v>
      </c>
      <c r="G16" s="118">
        <v>1.64</v>
      </c>
      <c r="H16" s="126">
        <f t="shared" si="7"/>
        <v>1.46</v>
      </c>
      <c r="I16" s="126">
        <f t="shared" si="7"/>
        <v>1.52</v>
      </c>
      <c r="J16" s="126">
        <f t="shared" si="7"/>
        <v>1.66</v>
      </c>
      <c r="K16" s="130">
        <f t="shared" si="0"/>
        <v>1.45</v>
      </c>
      <c r="L16" s="131">
        <f t="shared" si="0"/>
        <v>1.5333333333333332</v>
      </c>
      <c r="M16" s="132">
        <f t="shared" si="0"/>
        <v>1.6500000000000001</v>
      </c>
      <c r="N16" s="136">
        <f t="shared" si="1"/>
        <v>43989</v>
      </c>
      <c r="P16" s="122">
        <f t="shared" si="3"/>
        <v>4.0000000000000036E-2</v>
      </c>
    </row>
    <row r="17" spans="1:16" s="134" customFormat="1" x14ac:dyDescent="0.25">
      <c r="A17" s="129">
        <f t="shared" si="4"/>
        <v>43990</v>
      </c>
      <c r="B17" s="123">
        <f t="shared" si="2"/>
        <v>1.47</v>
      </c>
      <c r="C17" s="124">
        <f t="shared" si="5"/>
        <v>1.55</v>
      </c>
      <c r="D17" s="125">
        <f t="shared" si="6"/>
        <v>1.65</v>
      </c>
      <c r="E17" s="116">
        <v>1.42</v>
      </c>
      <c r="F17" s="117">
        <v>1.53</v>
      </c>
      <c r="G17" s="118">
        <v>1.64</v>
      </c>
      <c r="H17" s="126">
        <f t="shared" si="7"/>
        <v>1.46</v>
      </c>
      <c r="I17" s="126">
        <f t="shared" si="7"/>
        <v>1.52</v>
      </c>
      <c r="J17" s="126">
        <f t="shared" si="7"/>
        <v>1.66</v>
      </c>
      <c r="K17" s="130">
        <f t="shared" si="0"/>
        <v>1.45</v>
      </c>
      <c r="L17" s="131">
        <f t="shared" si="0"/>
        <v>1.5333333333333332</v>
      </c>
      <c r="M17" s="132">
        <f t="shared" si="0"/>
        <v>1.6500000000000001</v>
      </c>
      <c r="N17" s="133">
        <f t="shared" si="1"/>
        <v>43990</v>
      </c>
      <c r="P17" s="122">
        <f t="shared" si="3"/>
        <v>4.0000000000000036E-2</v>
      </c>
    </row>
    <row r="18" spans="1:16" s="134" customFormat="1" ht="13" x14ac:dyDescent="0.3">
      <c r="A18" s="129">
        <f t="shared" si="4"/>
        <v>43991</v>
      </c>
      <c r="B18" s="123">
        <f t="shared" si="2"/>
        <v>1.47</v>
      </c>
      <c r="C18" s="124">
        <f t="shared" si="5"/>
        <v>1.55</v>
      </c>
      <c r="D18" s="125">
        <f t="shared" si="6"/>
        <v>1.65</v>
      </c>
      <c r="E18" s="116">
        <v>1.4850000000000001</v>
      </c>
      <c r="F18" s="117">
        <v>1.53</v>
      </c>
      <c r="G18" s="118">
        <v>1.65</v>
      </c>
      <c r="H18" s="128">
        <v>1.41</v>
      </c>
      <c r="I18" s="128">
        <v>1.52</v>
      </c>
      <c r="J18" s="128">
        <v>1.59</v>
      </c>
      <c r="K18" s="130">
        <f t="shared" si="0"/>
        <v>1.4550000000000001</v>
      </c>
      <c r="L18" s="131">
        <f t="shared" si="0"/>
        <v>1.5333333333333332</v>
      </c>
      <c r="M18" s="132">
        <f t="shared" si="0"/>
        <v>1.63</v>
      </c>
      <c r="N18" s="133">
        <f t="shared" si="1"/>
        <v>43991</v>
      </c>
      <c r="P18" s="122">
        <f t="shared" si="3"/>
        <v>-7.5000000000000178E-2</v>
      </c>
    </row>
    <row r="19" spans="1:16" s="134" customFormat="1" ht="12" customHeight="1" x14ac:dyDescent="0.25">
      <c r="A19" s="129">
        <f t="shared" si="4"/>
        <v>43992</v>
      </c>
      <c r="B19" s="123">
        <f t="shared" si="2"/>
        <v>1.47</v>
      </c>
      <c r="C19" s="124">
        <f t="shared" si="5"/>
        <v>1.55</v>
      </c>
      <c r="D19" s="125">
        <f t="shared" si="6"/>
        <v>1.65</v>
      </c>
      <c r="E19" s="116">
        <v>1.5</v>
      </c>
      <c r="F19" s="117">
        <v>1.57</v>
      </c>
      <c r="G19" s="118">
        <v>1.655</v>
      </c>
      <c r="H19" s="126">
        <v>1.41</v>
      </c>
      <c r="I19" s="126">
        <v>1.52</v>
      </c>
      <c r="J19" s="126">
        <v>1.59</v>
      </c>
      <c r="K19" s="130">
        <f t="shared" si="0"/>
        <v>1.46</v>
      </c>
      <c r="L19" s="131">
        <f t="shared" si="0"/>
        <v>1.5466666666666669</v>
      </c>
      <c r="M19" s="132">
        <f t="shared" si="0"/>
        <v>1.6316666666666666</v>
      </c>
      <c r="N19" s="133">
        <f t="shared" si="1"/>
        <v>43992</v>
      </c>
      <c r="P19" s="122">
        <f t="shared" si="3"/>
        <v>-9.000000000000008E-2</v>
      </c>
    </row>
    <row r="20" spans="1:16" s="134" customFormat="1" x14ac:dyDescent="0.25">
      <c r="A20" s="129">
        <f t="shared" si="4"/>
        <v>43993</v>
      </c>
      <c r="B20" s="123">
        <f t="shared" si="2"/>
        <v>1.47</v>
      </c>
      <c r="C20" s="124">
        <f t="shared" si="5"/>
        <v>1.55</v>
      </c>
      <c r="D20" s="125">
        <f t="shared" si="6"/>
        <v>1.65</v>
      </c>
      <c r="E20" s="116">
        <v>1.5149999999999999</v>
      </c>
      <c r="F20" s="117">
        <v>1.595</v>
      </c>
      <c r="G20" s="118">
        <v>1.6850000000000001</v>
      </c>
      <c r="H20" s="126">
        <v>1.41</v>
      </c>
      <c r="I20" s="126">
        <v>1.52</v>
      </c>
      <c r="J20" s="126">
        <v>1.59</v>
      </c>
      <c r="K20" s="130">
        <f t="shared" si="0"/>
        <v>1.4649999999999999</v>
      </c>
      <c r="L20" s="131">
        <f t="shared" si="0"/>
        <v>1.5549999999999999</v>
      </c>
      <c r="M20" s="132">
        <f t="shared" si="0"/>
        <v>1.6416666666666666</v>
      </c>
      <c r="N20" s="133">
        <f t="shared" si="1"/>
        <v>43993</v>
      </c>
      <c r="P20" s="135">
        <f>H20-E20</f>
        <v>-0.10499999999999998</v>
      </c>
    </row>
    <row r="21" spans="1:16" s="134" customFormat="1" x14ac:dyDescent="0.25">
      <c r="A21" s="129">
        <f t="shared" si="4"/>
        <v>43994</v>
      </c>
      <c r="B21" s="123">
        <f t="shared" si="2"/>
        <v>1.47</v>
      </c>
      <c r="C21" s="124">
        <f t="shared" si="5"/>
        <v>1.55</v>
      </c>
      <c r="D21" s="125">
        <f t="shared" si="6"/>
        <v>1.65</v>
      </c>
      <c r="E21" s="116">
        <v>1.4450000000000001</v>
      </c>
      <c r="F21" s="117">
        <v>1.57</v>
      </c>
      <c r="G21" s="118">
        <v>1.655</v>
      </c>
      <c r="H21" s="126">
        <v>1.41</v>
      </c>
      <c r="I21" s="126">
        <v>1.52</v>
      </c>
      <c r="J21" s="126">
        <v>1.59</v>
      </c>
      <c r="K21" s="130">
        <f t="shared" si="0"/>
        <v>1.4416666666666667</v>
      </c>
      <c r="L21" s="131">
        <f t="shared" si="0"/>
        <v>1.5466666666666669</v>
      </c>
      <c r="M21" s="132">
        <f t="shared" si="0"/>
        <v>1.6316666666666666</v>
      </c>
      <c r="N21" s="133">
        <f t="shared" si="1"/>
        <v>43994</v>
      </c>
      <c r="P21" s="135">
        <f t="shared" si="3"/>
        <v>-3.5000000000000142E-2</v>
      </c>
    </row>
    <row r="22" spans="1:16" s="134" customFormat="1" x14ac:dyDescent="0.25">
      <c r="A22" s="129">
        <f t="shared" si="4"/>
        <v>43995</v>
      </c>
      <c r="B22" s="123">
        <f t="shared" si="2"/>
        <v>1.47</v>
      </c>
      <c r="C22" s="124">
        <f t="shared" si="5"/>
        <v>1.55</v>
      </c>
      <c r="D22" s="125">
        <f t="shared" si="6"/>
        <v>1.65</v>
      </c>
      <c r="E22" s="116">
        <v>1.325</v>
      </c>
      <c r="F22" s="117">
        <v>1.4650000000000001</v>
      </c>
      <c r="G22" s="118">
        <v>1.5249999999999999</v>
      </c>
      <c r="H22" s="126">
        <v>1.41</v>
      </c>
      <c r="I22" s="126">
        <v>1.52</v>
      </c>
      <c r="J22" s="126">
        <v>1.59</v>
      </c>
      <c r="K22" s="130">
        <f t="shared" si="0"/>
        <v>1.4016666666666666</v>
      </c>
      <c r="L22" s="131">
        <f t="shared" si="0"/>
        <v>1.5116666666666667</v>
      </c>
      <c r="M22" s="132">
        <f t="shared" si="0"/>
        <v>1.5883333333333332</v>
      </c>
      <c r="N22" s="133">
        <f t="shared" si="1"/>
        <v>43995</v>
      </c>
      <c r="P22" s="122">
        <f t="shared" si="3"/>
        <v>8.4999999999999964E-2</v>
      </c>
    </row>
    <row r="23" spans="1:16" s="134" customFormat="1" ht="13" x14ac:dyDescent="0.3">
      <c r="A23" s="129">
        <f t="shared" si="4"/>
        <v>43996</v>
      </c>
      <c r="B23" s="123">
        <f t="shared" si="2"/>
        <v>1.47</v>
      </c>
      <c r="C23" s="124">
        <f t="shared" si="5"/>
        <v>1.55</v>
      </c>
      <c r="D23" s="125">
        <f t="shared" si="6"/>
        <v>1.65</v>
      </c>
      <c r="E23" s="116">
        <v>1.325</v>
      </c>
      <c r="F23" s="117">
        <v>1.4650000000000001</v>
      </c>
      <c r="G23" s="118">
        <v>1.5249999999999999</v>
      </c>
      <c r="H23" s="126">
        <v>1.41</v>
      </c>
      <c r="I23" s="126">
        <v>1.52</v>
      </c>
      <c r="J23" s="126">
        <v>1.59</v>
      </c>
      <c r="K23" s="130">
        <f t="shared" si="0"/>
        <v>1.4016666666666666</v>
      </c>
      <c r="L23" s="131">
        <f t="shared" si="0"/>
        <v>1.5116666666666667</v>
      </c>
      <c r="M23" s="132">
        <f t="shared" si="0"/>
        <v>1.5883333333333332</v>
      </c>
      <c r="N23" s="136">
        <f t="shared" si="1"/>
        <v>43996</v>
      </c>
      <c r="P23" s="122">
        <f t="shared" si="3"/>
        <v>8.4999999999999964E-2</v>
      </c>
    </row>
    <row r="24" spans="1:16" s="134" customFormat="1" x14ac:dyDescent="0.25">
      <c r="A24" s="129">
        <f t="shared" si="4"/>
        <v>43997</v>
      </c>
      <c r="B24" s="123">
        <f t="shared" si="2"/>
        <v>1.47</v>
      </c>
      <c r="C24" s="124">
        <f t="shared" si="5"/>
        <v>1.55</v>
      </c>
      <c r="D24" s="125">
        <f t="shared" si="6"/>
        <v>1.65</v>
      </c>
      <c r="E24" s="116">
        <v>1.325</v>
      </c>
      <c r="F24" s="117">
        <v>1.4650000000000001</v>
      </c>
      <c r="G24" s="118">
        <v>1.5249999999999999</v>
      </c>
      <c r="H24" s="126">
        <v>1.41</v>
      </c>
      <c r="I24" s="126">
        <v>1.52</v>
      </c>
      <c r="J24" s="126">
        <v>1.59</v>
      </c>
      <c r="K24" s="130">
        <f>AVERAGE(B24,E24,H24)</f>
        <v>1.4016666666666666</v>
      </c>
      <c r="L24" s="131">
        <f t="shared" si="0"/>
        <v>1.5116666666666667</v>
      </c>
      <c r="M24" s="132">
        <f t="shared" si="0"/>
        <v>1.5883333333333332</v>
      </c>
      <c r="N24" s="133">
        <f t="shared" si="1"/>
        <v>43997</v>
      </c>
      <c r="P24" s="122">
        <f t="shared" si="3"/>
        <v>8.4999999999999964E-2</v>
      </c>
    </row>
    <row r="25" spans="1:16" s="134" customFormat="1" ht="13" x14ac:dyDescent="0.3">
      <c r="A25" s="129">
        <f t="shared" si="4"/>
        <v>43998</v>
      </c>
      <c r="B25" s="123">
        <f t="shared" si="2"/>
        <v>1.47</v>
      </c>
      <c r="C25" s="124">
        <f t="shared" si="5"/>
        <v>1.55</v>
      </c>
      <c r="D25" s="125">
        <f t="shared" si="6"/>
        <v>1.65</v>
      </c>
      <c r="E25" s="116">
        <v>1.2350000000000001</v>
      </c>
      <c r="F25" s="117">
        <v>1.37</v>
      </c>
      <c r="G25" s="118">
        <v>1.45</v>
      </c>
      <c r="H25" s="128">
        <v>1.31</v>
      </c>
      <c r="I25" s="128">
        <v>1.37</v>
      </c>
      <c r="J25" s="128">
        <v>1.45</v>
      </c>
      <c r="K25" s="130">
        <f t="shared" si="0"/>
        <v>1.3383333333333336</v>
      </c>
      <c r="L25" s="131">
        <f t="shared" si="0"/>
        <v>1.43</v>
      </c>
      <c r="M25" s="132">
        <f t="shared" si="0"/>
        <v>1.5166666666666666</v>
      </c>
      <c r="N25" s="133">
        <f t="shared" si="1"/>
        <v>43998</v>
      </c>
      <c r="P25" s="135">
        <f t="shared" si="3"/>
        <v>7.4999999999999956E-2</v>
      </c>
    </row>
    <row r="26" spans="1:16" s="134" customFormat="1" x14ac:dyDescent="0.25">
      <c r="A26" s="129">
        <f t="shared" si="4"/>
        <v>43999</v>
      </c>
      <c r="B26" s="123">
        <f t="shared" si="2"/>
        <v>1.47</v>
      </c>
      <c r="C26" s="124">
        <f t="shared" si="5"/>
        <v>1.55</v>
      </c>
      <c r="D26" s="125">
        <f t="shared" si="6"/>
        <v>1.65</v>
      </c>
      <c r="E26" s="116">
        <v>1.2350000000000001</v>
      </c>
      <c r="F26" s="117">
        <v>1.2849999999999999</v>
      </c>
      <c r="G26" s="118">
        <v>1.325</v>
      </c>
      <c r="H26" s="126">
        <f t="shared" ref="H26:J31" si="8">H25</f>
        <v>1.31</v>
      </c>
      <c r="I26" s="126">
        <f t="shared" si="8"/>
        <v>1.37</v>
      </c>
      <c r="J26" s="126">
        <f t="shared" si="8"/>
        <v>1.45</v>
      </c>
      <c r="K26" s="130">
        <f t="shared" si="0"/>
        <v>1.3383333333333336</v>
      </c>
      <c r="L26" s="131">
        <f t="shared" si="0"/>
        <v>1.4016666666666666</v>
      </c>
      <c r="M26" s="132">
        <f t="shared" si="0"/>
        <v>1.4749999999999999</v>
      </c>
      <c r="N26" s="133">
        <f t="shared" si="1"/>
        <v>43999</v>
      </c>
      <c r="P26" s="122">
        <f t="shared" si="3"/>
        <v>7.4999999999999956E-2</v>
      </c>
    </row>
    <row r="27" spans="1:16" s="134" customFormat="1" x14ac:dyDescent="0.25">
      <c r="A27" s="129">
        <f t="shared" si="4"/>
        <v>44000</v>
      </c>
      <c r="B27" s="123">
        <f t="shared" si="2"/>
        <v>1.47</v>
      </c>
      <c r="C27" s="124">
        <f t="shared" si="5"/>
        <v>1.55</v>
      </c>
      <c r="D27" s="125">
        <f t="shared" si="6"/>
        <v>1.65</v>
      </c>
      <c r="E27" s="116">
        <v>1.345</v>
      </c>
      <c r="F27" s="117">
        <v>1.4</v>
      </c>
      <c r="G27" s="118">
        <v>1.46</v>
      </c>
      <c r="H27" s="126">
        <f t="shared" si="8"/>
        <v>1.31</v>
      </c>
      <c r="I27" s="126">
        <f t="shared" si="8"/>
        <v>1.37</v>
      </c>
      <c r="J27" s="126">
        <f t="shared" si="8"/>
        <v>1.45</v>
      </c>
      <c r="K27" s="130">
        <f t="shared" si="0"/>
        <v>1.375</v>
      </c>
      <c r="L27" s="131">
        <f t="shared" si="0"/>
        <v>1.4400000000000002</v>
      </c>
      <c r="M27" s="132">
        <f t="shared" si="0"/>
        <v>1.5199999999999998</v>
      </c>
      <c r="N27" s="133">
        <f t="shared" si="1"/>
        <v>44000</v>
      </c>
      <c r="P27" s="135">
        <f t="shared" si="3"/>
        <v>-3.499999999999992E-2</v>
      </c>
    </row>
    <row r="28" spans="1:16" s="134" customFormat="1" x14ac:dyDescent="0.25">
      <c r="A28" s="129">
        <f t="shared" si="4"/>
        <v>44001</v>
      </c>
      <c r="B28" s="123">
        <f t="shared" si="2"/>
        <v>1.47</v>
      </c>
      <c r="C28" s="124">
        <f t="shared" si="5"/>
        <v>1.55</v>
      </c>
      <c r="D28" s="125">
        <f t="shared" si="6"/>
        <v>1.65</v>
      </c>
      <c r="E28" s="116">
        <v>1.365</v>
      </c>
      <c r="F28" s="117">
        <v>1.39</v>
      </c>
      <c r="G28" s="118">
        <v>1.44</v>
      </c>
      <c r="H28" s="126">
        <f t="shared" si="8"/>
        <v>1.31</v>
      </c>
      <c r="I28" s="126">
        <f t="shared" si="8"/>
        <v>1.37</v>
      </c>
      <c r="J28" s="126">
        <f t="shared" si="8"/>
        <v>1.45</v>
      </c>
      <c r="K28" s="130">
        <f t="shared" si="0"/>
        <v>1.3816666666666666</v>
      </c>
      <c r="L28" s="131">
        <f t="shared" si="0"/>
        <v>1.4366666666666668</v>
      </c>
      <c r="M28" s="132">
        <f t="shared" si="0"/>
        <v>1.5133333333333334</v>
      </c>
      <c r="N28" s="133">
        <f t="shared" si="1"/>
        <v>44001</v>
      </c>
      <c r="P28" s="135">
        <f t="shared" si="3"/>
        <v>-5.4999999999999938E-2</v>
      </c>
    </row>
    <row r="29" spans="1:16" s="134" customFormat="1" x14ac:dyDescent="0.25">
      <c r="A29" s="129">
        <f t="shared" si="4"/>
        <v>44002</v>
      </c>
      <c r="B29" s="123">
        <f t="shared" si="2"/>
        <v>1.47</v>
      </c>
      <c r="C29" s="124">
        <f t="shared" si="5"/>
        <v>1.55</v>
      </c>
      <c r="D29" s="125">
        <f t="shared" si="6"/>
        <v>1.65</v>
      </c>
      <c r="E29" s="116">
        <v>1.365</v>
      </c>
      <c r="F29" s="117">
        <v>1.385</v>
      </c>
      <c r="G29" s="118">
        <v>1.4750000000000001</v>
      </c>
      <c r="H29" s="126">
        <f t="shared" si="8"/>
        <v>1.31</v>
      </c>
      <c r="I29" s="126">
        <f t="shared" si="8"/>
        <v>1.37</v>
      </c>
      <c r="J29" s="126">
        <f t="shared" si="8"/>
        <v>1.45</v>
      </c>
      <c r="K29" s="130">
        <f t="shared" si="0"/>
        <v>1.3816666666666666</v>
      </c>
      <c r="L29" s="131">
        <f t="shared" si="0"/>
        <v>1.4349999999999998</v>
      </c>
      <c r="M29" s="132">
        <f t="shared" si="0"/>
        <v>1.5250000000000001</v>
      </c>
      <c r="N29" s="133">
        <f t="shared" si="1"/>
        <v>44002</v>
      </c>
      <c r="P29" s="122">
        <f t="shared" si="3"/>
        <v>-5.4999999999999938E-2</v>
      </c>
    </row>
    <row r="30" spans="1:16" s="134" customFormat="1" ht="13" x14ac:dyDescent="0.3">
      <c r="A30" s="129">
        <f t="shared" si="4"/>
        <v>44003</v>
      </c>
      <c r="B30" s="123">
        <f t="shared" si="2"/>
        <v>1.47</v>
      </c>
      <c r="C30" s="124">
        <f t="shared" si="5"/>
        <v>1.55</v>
      </c>
      <c r="D30" s="125">
        <f t="shared" si="6"/>
        <v>1.65</v>
      </c>
      <c r="E30" s="116">
        <v>1.365</v>
      </c>
      <c r="F30" s="117">
        <v>1.385</v>
      </c>
      <c r="G30" s="118">
        <v>1.4750000000000001</v>
      </c>
      <c r="H30" s="126">
        <f t="shared" si="8"/>
        <v>1.31</v>
      </c>
      <c r="I30" s="126">
        <f t="shared" si="8"/>
        <v>1.37</v>
      </c>
      <c r="J30" s="126">
        <f t="shared" si="8"/>
        <v>1.45</v>
      </c>
      <c r="K30" s="130">
        <f t="shared" si="0"/>
        <v>1.3816666666666666</v>
      </c>
      <c r="L30" s="131">
        <f t="shared" si="0"/>
        <v>1.4349999999999998</v>
      </c>
      <c r="M30" s="132">
        <f t="shared" si="0"/>
        <v>1.5250000000000001</v>
      </c>
      <c r="N30" s="136">
        <f t="shared" si="1"/>
        <v>44003</v>
      </c>
      <c r="P30" s="122">
        <f t="shared" si="3"/>
        <v>-5.4999999999999938E-2</v>
      </c>
    </row>
    <row r="31" spans="1:16" s="134" customFormat="1" x14ac:dyDescent="0.25">
      <c r="A31" s="129">
        <f t="shared" si="4"/>
        <v>44004</v>
      </c>
      <c r="B31" s="123">
        <f t="shared" si="2"/>
        <v>1.47</v>
      </c>
      <c r="C31" s="124">
        <f t="shared" si="5"/>
        <v>1.55</v>
      </c>
      <c r="D31" s="125">
        <f t="shared" si="6"/>
        <v>1.65</v>
      </c>
      <c r="E31" s="116">
        <v>1.365</v>
      </c>
      <c r="F31" s="117">
        <v>1.385</v>
      </c>
      <c r="G31" s="118">
        <v>1.4750000000000001</v>
      </c>
      <c r="H31" s="126">
        <f t="shared" si="8"/>
        <v>1.31</v>
      </c>
      <c r="I31" s="126">
        <f t="shared" si="8"/>
        <v>1.37</v>
      </c>
      <c r="J31" s="126">
        <f t="shared" si="8"/>
        <v>1.45</v>
      </c>
      <c r="K31" s="130">
        <f t="shared" si="0"/>
        <v>1.3816666666666666</v>
      </c>
      <c r="L31" s="131">
        <f t="shared" si="0"/>
        <v>1.4349999999999998</v>
      </c>
      <c r="M31" s="132">
        <f t="shared" si="0"/>
        <v>1.5250000000000001</v>
      </c>
      <c r="N31" s="133">
        <f t="shared" si="1"/>
        <v>44004</v>
      </c>
      <c r="P31" s="122">
        <f t="shared" si="3"/>
        <v>-5.4999999999999938E-2</v>
      </c>
    </row>
    <row r="32" spans="1:16" s="134" customFormat="1" ht="13" x14ac:dyDescent="0.3">
      <c r="A32" s="129">
        <f t="shared" si="4"/>
        <v>44005</v>
      </c>
      <c r="B32" s="123">
        <f t="shared" si="2"/>
        <v>1.47</v>
      </c>
      <c r="C32" s="124">
        <f t="shared" si="5"/>
        <v>1.55</v>
      </c>
      <c r="D32" s="125">
        <f t="shared" si="6"/>
        <v>1.65</v>
      </c>
      <c r="E32" s="116">
        <v>1.5</v>
      </c>
      <c r="F32" s="117">
        <v>1.51</v>
      </c>
      <c r="G32" s="118">
        <v>1.595</v>
      </c>
      <c r="H32" s="128">
        <v>1.41</v>
      </c>
      <c r="I32" s="128">
        <v>1.46</v>
      </c>
      <c r="J32" s="128">
        <v>1.45</v>
      </c>
      <c r="K32" s="130">
        <f t="shared" si="0"/>
        <v>1.46</v>
      </c>
      <c r="L32" s="131">
        <f t="shared" si="0"/>
        <v>1.5066666666666666</v>
      </c>
      <c r="M32" s="132">
        <f t="shared" si="0"/>
        <v>1.5650000000000002</v>
      </c>
      <c r="N32" s="133">
        <f t="shared" si="1"/>
        <v>44005</v>
      </c>
      <c r="P32" s="122">
        <f t="shared" si="3"/>
        <v>-9.000000000000008E-2</v>
      </c>
    </row>
    <row r="33" spans="1:16" s="134" customFormat="1" x14ac:dyDescent="0.25">
      <c r="A33" s="129">
        <f t="shared" si="4"/>
        <v>44006</v>
      </c>
      <c r="B33" s="123">
        <f t="shared" si="2"/>
        <v>1.47</v>
      </c>
      <c r="C33" s="124">
        <f t="shared" si="5"/>
        <v>1.55</v>
      </c>
      <c r="D33" s="125">
        <f t="shared" si="6"/>
        <v>1.65</v>
      </c>
      <c r="E33" s="116">
        <v>1.4750000000000001</v>
      </c>
      <c r="F33" s="117">
        <v>1.4850000000000001</v>
      </c>
      <c r="G33" s="118">
        <v>1.5549999999999999</v>
      </c>
      <c r="H33" s="126">
        <f t="shared" ref="H33:J38" si="9">H32</f>
        <v>1.41</v>
      </c>
      <c r="I33" s="126">
        <f t="shared" si="9"/>
        <v>1.46</v>
      </c>
      <c r="J33" s="126">
        <f t="shared" si="9"/>
        <v>1.45</v>
      </c>
      <c r="K33" s="130">
        <f t="shared" si="0"/>
        <v>1.4516666666666669</v>
      </c>
      <c r="L33" s="131">
        <f t="shared" si="0"/>
        <v>1.4983333333333333</v>
      </c>
      <c r="M33" s="132">
        <f t="shared" si="0"/>
        <v>1.5516666666666667</v>
      </c>
      <c r="N33" s="133">
        <f t="shared" si="1"/>
        <v>44006</v>
      </c>
      <c r="P33" s="122">
        <f t="shared" si="3"/>
        <v>-6.5000000000000169E-2</v>
      </c>
    </row>
    <row r="34" spans="1:16" s="134" customFormat="1" x14ac:dyDescent="0.25">
      <c r="A34" s="129">
        <f t="shared" si="4"/>
        <v>44007</v>
      </c>
      <c r="B34" s="123">
        <f t="shared" si="2"/>
        <v>1.47</v>
      </c>
      <c r="C34" s="124">
        <f t="shared" si="5"/>
        <v>1.55</v>
      </c>
      <c r="D34" s="125">
        <f t="shared" si="6"/>
        <v>1.65</v>
      </c>
      <c r="E34" s="116">
        <v>1.4750000000000001</v>
      </c>
      <c r="F34" s="117">
        <v>1.5</v>
      </c>
      <c r="G34" s="118">
        <v>1.55</v>
      </c>
      <c r="H34" s="126">
        <f t="shared" si="9"/>
        <v>1.41</v>
      </c>
      <c r="I34" s="126">
        <f t="shared" si="9"/>
        <v>1.46</v>
      </c>
      <c r="J34" s="126">
        <f t="shared" si="9"/>
        <v>1.45</v>
      </c>
      <c r="K34" s="130">
        <f t="shared" si="0"/>
        <v>1.4516666666666669</v>
      </c>
      <c r="L34" s="131">
        <f t="shared" si="0"/>
        <v>1.5033333333333332</v>
      </c>
      <c r="M34" s="132">
        <f t="shared" si="0"/>
        <v>1.55</v>
      </c>
      <c r="N34" s="133">
        <f t="shared" si="1"/>
        <v>44007</v>
      </c>
      <c r="P34" s="135">
        <f t="shared" si="3"/>
        <v>-6.5000000000000169E-2</v>
      </c>
    </row>
    <row r="35" spans="1:16" s="134" customFormat="1" x14ac:dyDescent="0.25">
      <c r="A35" s="129">
        <f t="shared" si="4"/>
        <v>44008</v>
      </c>
      <c r="B35" s="123">
        <f t="shared" si="2"/>
        <v>1.47</v>
      </c>
      <c r="C35" s="124">
        <f t="shared" si="5"/>
        <v>1.55</v>
      </c>
      <c r="D35" s="125">
        <f t="shared" si="6"/>
        <v>1.65</v>
      </c>
      <c r="E35" s="116">
        <v>1.32</v>
      </c>
      <c r="F35" s="117">
        <v>1.39</v>
      </c>
      <c r="G35" s="118">
        <v>1.4550000000000001</v>
      </c>
      <c r="H35" s="126">
        <f t="shared" si="9"/>
        <v>1.41</v>
      </c>
      <c r="I35" s="126">
        <f t="shared" si="9"/>
        <v>1.46</v>
      </c>
      <c r="J35" s="126">
        <f t="shared" si="9"/>
        <v>1.45</v>
      </c>
      <c r="K35" s="130">
        <f t="shared" si="0"/>
        <v>1.4000000000000001</v>
      </c>
      <c r="L35" s="131">
        <f t="shared" si="0"/>
        <v>1.4666666666666668</v>
      </c>
      <c r="M35" s="132">
        <f t="shared" si="0"/>
        <v>1.5183333333333333</v>
      </c>
      <c r="N35" s="133">
        <f t="shared" si="1"/>
        <v>44008</v>
      </c>
      <c r="P35" s="135">
        <f t="shared" si="3"/>
        <v>8.9999999999999858E-2</v>
      </c>
    </row>
    <row r="36" spans="1:16" x14ac:dyDescent="0.25">
      <c r="A36" s="87">
        <f t="shared" si="4"/>
        <v>44009</v>
      </c>
      <c r="B36" s="123">
        <f t="shared" si="2"/>
        <v>1.47</v>
      </c>
      <c r="C36" s="124">
        <f t="shared" si="5"/>
        <v>1.55</v>
      </c>
      <c r="D36" s="125">
        <f t="shared" si="6"/>
        <v>1.65</v>
      </c>
      <c r="E36" s="116">
        <v>1.2949999999999999</v>
      </c>
      <c r="F36" s="117">
        <v>1.345</v>
      </c>
      <c r="G36" s="118">
        <v>1.42</v>
      </c>
      <c r="H36" s="126">
        <f t="shared" si="9"/>
        <v>1.41</v>
      </c>
      <c r="I36" s="126">
        <f t="shared" si="9"/>
        <v>1.46</v>
      </c>
      <c r="J36" s="126">
        <f t="shared" si="9"/>
        <v>1.45</v>
      </c>
      <c r="K36" s="130">
        <f t="shared" si="0"/>
        <v>1.3916666666666666</v>
      </c>
      <c r="L36" s="120">
        <f t="shared" si="0"/>
        <v>1.4516666666666669</v>
      </c>
      <c r="M36" s="121">
        <f t="shared" si="0"/>
        <v>1.5066666666666666</v>
      </c>
      <c r="N36" s="133">
        <f t="shared" si="1"/>
        <v>44009</v>
      </c>
      <c r="P36" s="122">
        <f>H36-E36</f>
        <v>0.11499999999999999</v>
      </c>
    </row>
    <row r="37" spans="1:16" ht="13" x14ac:dyDescent="0.3">
      <c r="A37" s="87">
        <f t="shared" si="4"/>
        <v>44010</v>
      </c>
      <c r="B37" s="123">
        <f t="shared" si="2"/>
        <v>1.47</v>
      </c>
      <c r="C37" s="124">
        <f t="shared" si="5"/>
        <v>1.55</v>
      </c>
      <c r="D37" s="125">
        <f t="shared" si="6"/>
        <v>1.65</v>
      </c>
      <c r="E37" s="116">
        <v>1.2949999999999999</v>
      </c>
      <c r="F37" s="117">
        <v>1.345</v>
      </c>
      <c r="G37" s="118">
        <v>1.42</v>
      </c>
      <c r="H37" s="126">
        <f t="shared" si="9"/>
        <v>1.41</v>
      </c>
      <c r="I37" s="126">
        <f t="shared" si="9"/>
        <v>1.46</v>
      </c>
      <c r="J37" s="126">
        <f t="shared" si="9"/>
        <v>1.45</v>
      </c>
      <c r="K37" s="130">
        <f t="shared" si="0"/>
        <v>1.3916666666666666</v>
      </c>
      <c r="L37" s="120">
        <f t="shared" si="0"/>
        <v>1.4516666666666669</v>
      </c>
      <c r="M37" s="121">
        <f t="shared" si="0"/>
        <v>1.5066666666666666</v>
      </c>
      <c r="N37" s="136">
        <f t="shared" si="1"/>
        <v>44010</v>
      </c>
      <c r="P37" s="122">
        <f t="shared" si="3"/>
        <v>0.11499999999999999</v>
      </c>
    </row>
    <row r="38" spans="1:16" s="134" customFormat="1" x14ac:dyDescent="0.25">
      <c r="A38" s="129">
        <f t="shared" si="4"/>
        <v>44011</v>
      </c>
      <c r="B38" s="123">
        <f t="shared" si="2"/>
        <v>1.47</v>
      </c>
      <c r="C38" s="124">
        <f t="shared" si="5"/>
        <v>1.55</v>
      </c>
      <c r="D38" s="125">
        <f t="shared" si="6"/>
        <v>1.65</v>
      </c>
      <c r="E38" s="116">
        <v>1.2949999999999999</v>
      </c>
      <c r="F38" s="117">
        <v>1.345</v>
      </c>
      <c r="G38" s="118">
        <v>1.42</v>
      </c>
      <c r="H38" s="126">
        <f t="shared" si="9"/>
        <v>1.41</v>
      </c>
      <c r="I38" s="126">
        <f t="shared" si="9"/>
        <v>1.46</v>
      </c>
      <c r="J38" s="126">
        <f t="shared" si="9"/>
        <v>1.45</v>
      </c>
      <c r="K38" s="130">
        <f t="shared" ref="K38:M39" si="10">AVERAGE(B38,E38,H38)</f>
        <v>1.3916666666666666</v>
      </c>
      <c r="L38" s="131">
        <f t="shared" si="10"/>
        <v>1.4516666666666669</v>
      </c>
      <c r="M38" s="132">
        <f t="shared" si="10"/>
        <v>1.5066666666666666</v>
      </c>
      <c r="N38" s="133">
        <f t="shared" si="1"/>
        <v>44011</v>
      </c>
      <c r="P38" s="135">
        <f t="shared" si="3"/>
        <v>0.11499999999999999</v>
      </c>
    </row>
    <row r="39" spans="1:16" ht="13" x14ac:dyDescent="0.3">
      <c r="A39" s="87">
        <f t="shared" si="4"/>
        <v>44012</v>
      </c>
      <c r="B39" s="123">
        <f t="shared" si="2"/>
        <v>1.47</v>
      </c>
      <c r="C39" s="124">
        <f t="shared" si="5"/>
        <v>1.55</v>
      </c>
      <c r="D39" s="125">
        <f t="shared" si="6"/>
        <v>1.65</v>
      </c>
      <c r="E39" s="116">
        <v>1.53</v>
      </c>
      <c r="F39" s="117">
        <v>1.575</v>
      </c>
      <c r="G39" s="118">
        <v>1.655</v>
      </c>
      <c r="H39" s="128">
        <v>1.52</v>
      </c>
      <c r="I39" s="128">
        <v>1.51</v>
      </c>
      <c r="J39" s="128">
        <v>1.56</v>
      </c>
      <c r="K39" s="130">
        <f t="shared" si="10"/>
        <v>1.5066666666666666</v>
      </c>
      <c r="L39" s="120">
        <f t="shared" si="10"/>
        <v>1.5449999999999999</v>
      </c>
      <c r="M39" s="121">
        <f t="shared" si="10"/>
        <v>1.6216666666666668</v>
      </c>
      <c r="N39" s="136">
        <f t="shared" si="1"/>
        <v>44012</v>
      </c>
      <c r="P39" s="122">
        <f t="shared" si="3"/>
        <v>-1.0000000000000009E-2</v>
      </c>
    </row>
    <row r="40" spans="1:16" ht="13" x14ac:dyDescent="0.3">
      <c r="B40" s="123"/>
      <c r="C40" s="124"/>
      <c r="D40" s="125"/>
      <c r="E40" s="116"/>
      <c r="F40" s="117"/>
      <c r="G40" s="118"/>
      <c r="H40" s="126"/>
      <c r="I40" s="126"/>
      <c r="J40" s="126"/>
      <c r="K40" s="130"/>
      <c r="L40" s="120"/>
      <c r="M40" s="121"/>
      <c r="N40" s="136"/>
      <c r="P40" s="122"/>
    </row>
    <row r="41" spans="1:16" x14ac:dyDescent="0.25">
      <c r="B41" s="123"/>
      <c r="C41" s="124"/>
      <c r="D41" s="125"/>
      <c r="E41" s="137"/>
      <c r="F41" s="138"/>
      <c r="G41" s="139"/>
      <c r="H41" s="137"/>
      <c r="I41" s="138"/>
      <c r="J41" s="139"/>
      <c r="K41" s="119"/>
      <c r="L41" s="120"/>
      <c r="M41" s="121"/>
    </row>
    <row r="42" spans="1:16" s="134" customFormat="1" ht="13" x14ac:dyDescent="0.3">
      <c r="A42" s="140" t="s">
        <v>90</v>
      </c>
      <c r="B42" s="141">
        <f t="shared" ref="B42:M42" si="11">AVERAGE(B10:B39)</f>
        <v>1.4699999999999993</v>
      </c>
      <c r="C42" s="141">
        <f t="shared" si="11"/>
        <v>1.5499999999999996</v>
      </c>
      <c r="D42" s="141">
        <f t="shared" si="11"/>
        <v>1.649999999999999</v>
      </c>
      <c r="E42" s="141">
        <f t="shared" si="11"/>
        <v>1.3978333333333333</v>
      </c>
      <c r="F42" s="141">
        <f t="shared" si="11"/>
        <v>1.4646666666666666</v>
      </c>
      <c r="G42" s="141">
        <f t="shared" si="11"/>
        <v>1.5450000000000002</v>
      </c>
      <c r="H42" s="141">
        <f t="shared" si="11"/>
        <v>1.4053333333333324</v>
      </c>
      <c r="I42" s="141">
        <f t="shared" si="11"/>
        <v>1.4730000000000001</v>
      </c>
      <c r="J42" s="141">
        <f t="shared" si="11"/>
        <v>1.5410000000000008</v>
      </c>
      <c r="K42" s="141">
        <f t="shared" si="11"/>
        <v>1.4243888888888889</v>
      </c>
      <c r="L42" s="141">
        <f t="shared" si="11"/>
        <v>1.495888888888889</v>
      </c>
      <c r="M42" s="141">
        <f t="shared" si="11"/>
        <v>1.5786666666666667</v>
      </c>
      <c r="N42" s="142"/>
    </row>
    <row r="43" spans="1:16" x14ac:dyDescent="0.25">
      <c r="B43" s="143"/>
      <c r="C43" s="143"/>
      <c r="D43" s="143"/>
      <c r="E43" s="143"/>
      <c r="F43" s="143"/>
      <c r="G43" s="143"/>
      <c r="H43" s="143"/>
      <c r="I43" s="143"/>
      <c r="J43" s="143"/>
      <c r="K43" s="144"/>
      <c r="L43" s="145"/>
    </row>
    <row r="44" spans="1:16" x14ac:dyDescent="0.25">
      <c r="B44" s="143"/>
      <c r="C44" s="143"/>
      <c r="D44" s="143"/>
      <c r="E44" s="143"/>
      <c r="F44" s="143"/>
      <c r="G44" s="176"/>
      <c r="H44" s="177"/>
      <c r="I44" s="176"/>
      <c r="J44" s="143"/>
      <c r="K44" s="144"/>
      <c r="L44" s="145"/>
    </row>
    <row r="45" spans="1:16" x14ac:dyDescent="0.25">
      <c r="B45" s="143"/>
      <c r="C45" s="143"/>
      <c r="D45" s="143"/>
      <c r="E45" s="143"/>
      <c r="F45" s="143"/>
      <c r="G45" s="143"/>
      <c r="H45" s="143"/>
      <c r="I45" s="143"/>
      <c r="J45" s="143"/>
      <c r="K45" s="144"/>
      <c r="L45" s="145"/>
    </row>
    <row r="46" spans="1:16" x14ac:dyDescent="0.25">
      <c r="B46" s="143"/>
      <c r="C46" s="143"/>
      <c r="D46" s="143"/>
      <c r="E46" s="143"/>
      <c r="F46" s="143"/>
      <c r="G46" s="143"/>
      <c r="H46" s="143"/>
      <c r="I46" s="143"/>
      <c r="J46" s="143"/>
      <c r="K46" s="144"/>
      <c r="L46" s="145"/>
    </row>
    <row r="47" spans="1:16" x14ac:dyDescent="0.25">
      <c r="B47" s="143"/>
      <c r="C47" s="143"/>
      <c r="D47" s="143"/>
      <c r="E47" s="143"/>
      <c r="F47" s="143"/>
      <c r="G47" s="143"/>
      <c r="H47" s="143"/>
      <c r="I47" s="143"/>
      <c r="J47" s="143"/>
      <c r="K47" s="144"/>
      <c r="L47" s="145"/>
    </row>
    <row r="48" spans="1:16" ht="13" x14ac:dyDescent="0.3">
      <c r="A48" s="147" t="s">
        <v>91</v>
      </c>
      <c r="B48" s="148"/>
      <c r="C48" s="148"/>
      <c r="D48" s="148"/>
      <c r="E48" s="148"/>
      <c r="F48" s="148"/>
      <c r="G48" s="148"/>
      <c r="H48" s="148"/>
      <c r="I48" s="148"/>
      <c r="J48" s="149"/>
      <c r="K48" s="144"/>
      <c r="L48" s="145"/>
    </row>
    <row r="49" spans="1:17" x14ac:dyDescent="0.25">
      <c r="A49" s="150"/>
      <c r="B49" s="120"/>
      <c r="C49" s="120"/>
      <c r="D49" s="120"/>
      <c r="E49" s="120"/>
      <c r="F49" s="120"/>
      <c r="G49" s="120"/>
      <c r="H49" s="120"/>
      <c r="I49" s="120"/>
      <c r="J49" s="151"/>
      <c r="K49" s="144"/>
      <c r="L49" s="145"/>
    </row>
    <row r="50" spans="1:17" ht="14" x14ac:dyDescent="0.3">
      <c r="A50" s="152"/>
      <c r="B50" s="153"/>
      <c r="C50" s="153"/>
      <c r="D50" s="153"/>
      <c r="E50" s="154" t="s">
        <v>92</v>
      </c>
      <c r="F50" s="154" t="s">
        <v>92</v>
      </c>
      <c r="G50" s="154" t="s">
        <v>93</v>
      </c>
      <c r="H50" s="153"/>
      <c r="I50" s="153"/>
      <c r="J50" s="155"/>
      <c r="L50" s="145"/>
      <c r="M50" s="156"/>
    </row>
    <row r="51" spans="1:17" ht="15" customHeight="1" x14ac:dyDescent="0.3">
      <c r="A51" s="152"/>
      <c r="B51" s="157" t="s">
        <v>42</v>
      </c>
      <c r="C51" s="157" t="s">
        <v>94</v>
      </c>
      <c r="D51" s="153"/>
      <c r="E51" s="157" t="s">
        <v>95</v>
      </c>
      <c r="F51" s="157" t="s">
        <v>96</v>
      </c>
      <c r="G51" s="157" t="s">
        <v>96</v>
      </c>
      <c r="H51" s="205" t="s">
        <v>97</v>
      </c>
      <c r="I51" s="205"/>
      <c r="J51" s="155"/>
      <c r="K51" s="158"/>
      <c r="L51" s="159"/>
      <c r="M51" s="156"/>
    </row>
    <row r="52" spans="1:17" ht="15" customHeight="1" x14ac:dyDescent="0.3">
      <c r="A52" s="152"/>
      <c r="B52" s="153" t="s">
        <v>55</v>
      </c>
      <c r="C52" s="153" t="s">
        <v>98</v>
      </c>
      <c r="D52" s="153"/>
      <c r="E52" s="160">
        <f>1017100-75000</f>
        <v>942100</v>
      </c>
      <c r="F52" s="161">
        <f>1421566.75-115687.5</f>
        <v>1305879.25</v>
      </c>
      <c r="G52" s="162">
        <f>E52*$K$42</f>
        <v>1341916.7722222223</v>
      </c>
      <c r="H52" s="153"/>
      <c r="I52" s="163">
        <f>G52-F52</f>
        <v>36037.522222222295</v>
      </c>
      <c r="J52" s="155"/>
      <c r="L52" s="145"/>
      <c r="M52" s="156"/>
    </row>
    <row r="53" spans="1:17" ht="14" x14ac:dyDescent="0.3">
      <c r="A53" s="152"/>
      <c r="B53" s="153" t="s">
        <v>62</v>
      </c>
      <c r="C53" s="153" t="s">
        <v>99</v>
      </c>
      <c r="D53" s="153"/>
      <c r="E53" s="160">
        <v>0</v>
      </c>
      <c r="F53" s="161">
        <v>0</v>
      </c>
      <c r="G53" s="162">
        <f>E53*$L$42</f>
        <v>0</v>
      </c>
      <c r="H53" s="153"/>
      <c r="I53" s="163">
        <f t="shared" ref="I53:I54" si="12">G53-F53</f>
        <v>0</v>
      </c>
      <c r="J53" s="155"/>
      <c r="L53" s="145"/>
      <c r="M53" s="156"/>
    </row>
    <row r="54" spans="1:17" s="81" customFormat="1" ht="14" x14ac:dyDescent="0.3">
      <c r="A54" s="152"/>
      <c r="B54" s="153" t="s">
        <v>100</v>
      </c>
      <c r="C54" s="153">
        <v>500</v>
      </c>
      <c r="D54" s="153"/>
      <c r="E54" s="160">
        <v>75000</v>
      </c>
      <c r="F54" s="161">
        <v>115687.5</v>
      </c>
      <c r="G54" s="162">
        <f>E54*$M$42</f>
        <v>118400</v>
      </c>
      <c r="H54" s="153"/>
      <c r="I54" s="163">
        <f t="shared" si="12"/>
        <v>2712.5</v>
      </c>
      <c r="J54" s="155"/>
      <c r="L54" s="145"/>
      <c r="M54" s="156"/>
      <c r="O54" s="82"/>
      <c r="P54" s="82"/>
      <c r="Q54" s="82"/>
    </row>
    <row r="55" spans="1:17" s="81" customFormat="1" ht="14.5" thickBot="1" x14ac:dyDescent="0.35">
      <c r="A55" s="152"/>
      <c r="B55" s="153"/>
      <c r="C55" s="153"/>
      <c r="D55" s="153"/>
      <c r="E55" s="160"/>
      <c r="F55" s="161"/>
      <c r="G55" s="153"/>
      <c r="H55" s="153"/>
      <c r="I55" s="153"/>
      <c r="J55" s="155"/>
      <c r="L55" s="145"/>
      <c r="M55" s="156"/>
      <c r="O55" s="82"/>
      <c r="P55" s="82"/>
      <c r="Q55" s="82"/>
    </row>
    <row r="56" spans="1:17" s="81" customFormat="1" ht="14.5" thickBot="1" x14ac:dyDescent="0.35">
      <c r="A56" s="152"/>
      <c r="B56" s="153"/>
      <c r="C56" s="153"/>
      <c r="D56" s="153"/>
      <c r="E56" s="160"/>
      <c r="F56" s="161"/>
      <c r="G56" s="153"/>
      <c r="H56" s="164"/>
      <c r="I56" s="165">
        <f>SUM(I52:I55)</f>
        <v>38750.022222222295</v>
      </c>
      <c r="J56" s="155"/>
      <c r="L56" s="145"/>
      <c r="M56" s="156"/>
      <c r="O56" s="82"/>
      <c r="P56" s="82"/>
      <c r="Q56" s="82"/>
    </row>
    <row r="57" spans="1:17" s="81" customFormat="1" ht="14" x14ac:dyDescent="0.3">
      <c r="A57" s="166"/>
      <c r="B57" s="167"/>
      <c r="C57" s="167"/>
      <c r="D57" s="167"/>
      <c r="E57" s="168"/>
      <c r="F57" s="167"/>
      <c r="G57" s="167"/>
      <c r="H57" s="167"/>
      <c r="I57" s="167"/>
      <c r="J57" s="169"/>
      <c r="L57" s="145"/>
      <c r="M57" s="156"/>
      <c r="O57" s="82"/>
      <c r="P57" s="82"/>
      <c r="Q57" s="82"/>
    </row>
    <row r="58" spans="1:17" s="81" customFormat="1" ht="14" x14ac:dyDescent="0.3">
      <c r="A58" s="87"/>
      <c r="L58" s="145"/>
      <c r="M58" s="156"/>
      <c r="O58" s="82"/>
      <c r="P58" s="82"/>
      <c r="Q58" s="82"/>
    </row>
    <row r="59" spans="1:17" s="81" customFormat="1" ht="14" x14ac:dyDescent="0.3">
      <c r="A59" s="170"/>
      <c r="L59" s="145"/>
      <c r="M59" s="156"/>
      <c r="O59" s="82"/>
      <c r="P59" s="82"/>
      <c r="Q59" s="82"/>
    </row>
    <row r="60" spans="1:17" s="81" customFormat="1" ht="14" x14ac:dyDescent="0.3">
      <c r="A60" s="87"/>
      <c r="L60" s="145"/>
      <c r="M60" s="156"/>
      <c r="O60" s="82"/>
      <c r="P60" s="82"/>
      <c r="Q60" s="82"/>
    </row>
    <row r="61" spans="1:17" s="81" customFormat="1" x14ac:dyDescent="0.25">
      <c r="A61" s="87"/>
      <c r="B61" s="143"/>
      <c r="C61" s="143"/>
      <c r="D61" s="143"/>
      <c r="E61" s="143"/>
      <c r="F61" s="143"/>
      <c r="G61" s="143"/>
      <c r="H61" s="143"/>
      <c r="I61" s="143"/>
      <c r="J61" s="143"/>
      <c r="K61" s="144"/>
      <c r="L61" s="145"/>
      <c r="O61" s="82"/>
      <c r="P61" s="82"/>
      <c r="Q61" s="82"/>
    </row>
    <row r="62" spans="1:17" s="81" customFormat="1" ht="13" x14ac:dyDescent="0.3">
      <c r="A62" s="147" t="s">
        <v>101</v>
      </c>
      <c r="B62" s="148"/>
      <c r="C62" s="148"/>
      <c r="D62" s="148"/>
      <c r="E62" s="148"/>
      <c r="F62" s="148"/>
      <c r="G62" s="148"/>
      <c r="H62" s="148"/>
      <c r="I62" s="148"/>
      <c r="J62" s="149"/>
      <c r="K62" s="144"/>
      <c r="L62" s="145"/>
      <c r="O62" s="82"/>
      <c r="P62" s="82"/>
      <c r="Q62" s="82"/>
    </row>
    <row r="63" spans="1:17" s="81" customFormat="1" x14ac:dyDescent="0.25">
      <c r="A63" s="150"/>
      <c r="B63" s="120"/>
      <c r="C63" s="120"/>
      <c r="D63" s="120"/>
      <c r="E63" s="120"/>
      <c r="F63" s="120"/>
      <c r="G63" s="120"/>
      <c r="H63" s="120"/>
      <c r="I63" s="120"/>
      <c r="J63" s="151"/>
      <c r="K63" s="144"/>
      <c r="L63" s="145"/>
      <c r="O63" s="82"/>
      <c r="P63" s="82"/>
      <c r="Q63" s="82"/>
    </row>
    <row r="64" spans="1:17" s="81" customFormat="1" ht="13" x14ac:dyDescent="0.3">
      <c r="A64" s="152"/>
      <c r="B64" s="153"/>
      <c r="C64" s="153"/>
      <c r="D64" s="153"/>
      <c r="E64" s="154" t="s">
        <v>92</v>
      </c>
      <c r="F64" s="154" t="s">
        <v>92</v>
      </c>
      <c r="G64" s="154" t="s">
        <v>93</v>
      </c>
      <c r="H64" s="153"/>
      <c r="I64" s="153"/>
      <c r="J64" s="155"/>
      <c r="L64" s="145"/>
      <c r="M64" s="171"/>
      <c r="O64" s="82"/>
      <c r="P64" s="82"/>
      <c r="Q64" s="82"/>
    </row>
    <row r="65" spans="1:17" s="81" customFormat="1" ht="13" x14ac:dyDescent="0.3">
      <c r="A65" s="152"/>
      <c r="B65" s="157" t="s">
        <v>42</v>
      </c>
      <c r="C65" s="157" t="s">
        <v>94</v>
      </c>
      <c r="D65" s="153"/>
      <c r="E65" s="157" t="s">
        <v>95</v>
      </c>
      <c r="F65" s="157" t="s">
        <v>96</v>
      </c>
      <c r="G65" s="157" t="s">
        <v>96</v>
      </c>
      <c r="H65" s="205" t="s">
        <v>97</v>
      </c>
      <c r="I65" s="205"/>
      <c r="J65" s="155"/>
      <c r="L65" s="145"/>
      <c r="O65" s="82"/>
      <c r="P65" s="82"/>
      <c r="Q65" s="82"/>
    </row>
    <row r="66" spans="1:17" x14ac:dyDescent="0.25">
      <c r="A66" s="152"/>
      <c r="B66" s="153" t="s">
        <v>55</v>
      </c>
      <c r="C66" s="153" t="s">
        <v>98</v>
      </c>
      <c r="D66" s="153"/>
      <c r="E66" s="160">
        <f>1017100-75000</f>
        <v>942100</v>
      </c>
      <c r="F66" s="161">
        <f>1421566.75-115687.5</f>
        <v>1305879.25</v>
      </c>
      <c r="G66" s="162">
        <f>E66*$K$42</f>
        <v>1341916.7722222223</v>
      </c>
      <c r="H66" s="153"/>
      <c r="I66" s="163">
        <f>G66-F66</f>
        <v>36037.522222222295</v>
      </c>
      <c r="J66" s="155"/>
    </row>
    <row r="67" spans="1:17" s="81" customFormat="1" x14ac:dyDescent="0.25">
      <c r="A67" s="152"/>
      <c r="B67" s="153" t="s">
        <v>62</v>
      </c>
      <c r="C67" s="153" t="s">
        <v>99</v>
      </c>
      <c r="D67" s="153"/>
      <c r="E67" s="160">
        <v>0</v>
      </c>
      <c r="F67" s="161">
        <v>0</v>
      </c>
      <c r="G67" s="162">
        <f>E67*$L$42</f>
        <v>0</v>
      </c>
      <c r="H67" s="153"/>
      <c r="I67" s="163">
        <f t="shared" ref="I67:I68" si="13">G67-F67</f>
        <v>0</v>
      </c>
      <c r="J67" s="155"/>
      <c r="K67" s="144"/>
      <c r="L67" s="145"/>
      <c r="O67" s="82"/>
      <c r="P67" s="82"/>
      <c r="Q67" s="82"/>
    </row>
    <row r="68" spans="1:17" s="81" customFormat="1" x14ac:dyDescent="0.25">
      <c r="A68" s="152"/>
      <c r="B68" s="153" t="s">
        <v>100</v>
      </c>
      <c r="C68" s="153">
        <v>500</v>
      </c>
      <c r="D68" s="153"/>
      <c r="E68" s="160">
        <v>75000</v>
      </c>
      <c r="F68" s="161">
        <v>115687.5</v>
      </c>
      <c r="G68" s="162">
        <f>E68*$M$42</f>
        <v>118400</v>
      </c>
      <c r="H68" s="153"/>
      <c r="I68" s="163">
        <f t="shared" si="13"/>
        <v>2712.5</v>
      </c>
      <c r="J68" s="155"/>
      <c r="K68" s="144"/>
      <c r="L68" s="145"/>
      <c r="O68" s="82"/>
      <c r="P68" s="82"/>
      <c r="Q68" s="82"/>
    </row>
    <row r="69" spans="1:17" s="81" customFormat="1" ht="13" thickBot="1" x14ac:dyDescent="0.3">
      <c r="A69" s="152"/>
      <c r="B69" s="153"/>
      <c r="C69" s="153"/>
      <c r="D69" s="153"/>
      <c r="E69" s="160"/>
      <c r="F69" s="161"/>
      <c r="G69" s="153"/>
      <c r="H69" s="153"/>
      <c r="I69" s="153"/>
      <c r="J69" s="155"/>
      <c r="K69" s="144"/>
      <c r="L69" s="145"/>
      <c r="O69" s="82"/>
      <c r="P69" s="82"/>
      <c r="Q69" s="82"/>
    </row>
    <row r="70" spans="1:17" s="81" customFormat="1" ht="13" thickBot="1" x14ac:dyDescent="0.3">
      <c r="A70" s="152"/>
      <c r="B70" s="153"/>
      <c r="C70" s="153"/>
      <c r="D70" s="153"/>
      <c r="E70" s="160"/>
      <c r="F70" s="161"/>
      <c r="G70" s="153"/>
      <c r="H70" s="164"/>
      <c r="I70" s="165">
        <f>SUM(I66:I69)</f>
        <v>38750.022222222295</v>
      </c>
      <c r="J70" s="155"/>
      <c r="L70" s="145"/>
      <c r="M70" s="171"/>
      <c r="O70" s="82"/>
      <c r="P70" s="82"/>
      <c r="Q70" s="82"/>
    </row>
    <row r="71" spans="1:17" s="81" customFormat="1" x14ac:dyDescent="0.25">
      <c r="A71" s="166"/>
      <c r="B71" s="167"/>
      <c r="C71" s="167"/>
      <c r="D71" s="167"/>
      <c r="E71" s="168"/>
      <c r="F71" s="167"/>
      <c r="G71" s="167"/>
      <c r="H71" s="167"/>
      <c r="I71" s="167"/>
      <c r="J71" s="169"/>
      <c r="L71" s="145"/>
      <c r="O71" s="82"/>
      <c r="P71" s="82"/>
      <c r="Q71" s="82"/>
    </row>
    <row r="72" spans="1:17" s="81" customFormat="1" x14ac:dyDescent="0.25">
      <c r="A72" s="87"/>
      <c r="L72" s="145"/>
      <c r="O72" s="82"/>
      <c r="P72" s="82"/>
      <c r="Q72" s="82"/>
    </row>
    <row r="73" spans="1:17" ht="13" x14ac:dyDescent="0.3">
      <c r="A73" s="170"/>
    </row>
    <row r="74" spans="1:17" s="81" customFormat="1" x14ac:dyDescent="0.25">
      <c r="A74" s="87"/>
      <c r="L74" s="145"/>
      <c r="M74" s="171"/>
      <c r="O74" s="82"/>
      <c r="P74" s="82"/>
      <c r="Q74" s="82"/>
    </row>
    <row r="75" spans="1:17" s="81" customFormat="1" x14ac:dyDescent="0.25">
      <c r="A75" s="87"/>
      <c r="B75" s="143"/>
      <c r="C75" s="143"/>
      <c r="D75" s="143"/>
      <c r="E75" s="143"/>
      <c r="F75" s="143"/>
      <c r="G75" s="143"/>
      <c r="H75" s="143"/>
      <c r="I75" s="143"/>
      <c r="J75" s="143"/>
      <c r="K75" s="144"/>
      <c r="L75" s="145"/>
      <c r="O75" s="82"/>
      <c r="P75" s="82"/>
      <c r="Q75" s="82"/>
    </row>
    <row r="76" spans="1:17" s="81" customFormat="1" x14ac:dyDescent="0.25">
      <c r="A76" s="87"/>
      <c r="B76" s="143"/>
      <c r="C76" s="143"/>
      <c r="D76" s="143"/>
      <c r="E76" s="143"/>
      <c r="F76" s="143"/>
      <c r="G76" s="143"/>
      <c r="H76" s="143"/>
      <c r="I76" s="143"/>
      <c r="J76" s="143"/>
      <c r="K76" s="144"/>
      <c r="L76" s="145"/>
      <c r="M76" s="143"/>
      <c r="O76" s="82"/>
      <c r="P76" s="82"/>
      <c r="Q76" s="82"/>
    </row>
    <row r="77" spans="1:17" s="81" customFormat="1" x14ac:dyDescent="0.25">
      <c r="A77" s="87"/>
      <c r="B77" s="143"/>
      <c r="C77" s="143"/>
      <c r="D77" s="143"/>
      <c r="E77" s="143"/>
      <c r="F77" s="143"/>
      <c r="G77" s="143"/>
      <c r="H77" s="143"/>
      <c r="I77" s="143"/>
      <c r="J77" s="143"/>
      <c r="K77" s="144"/>
      <c r="L77" s="145"/>
      <c r="O77" s="82"/>
      <c r="P77" s="82"/>
      <c r="Q77" s="82"/>
    </row>
    <row r="78" spans="1:17" s="81" customFormat="1" x14ac:dyDescent="0.25">
      <c r="A78" s="87"/>
      <c r="B78" s="143"/>
      <c r="C78" s="143"/>
      <c r="D78" s="143"/>
      <c r="E78" s="143"/>
      <c r="F78" s="143"/>
      <c r="G78" s="143"/>
      <c r="H78" s="143"/>
      <c r="I78" s="143"/>
      <c r="J78" s="143"/>
      <c r="K78" s="144"/>
      <c r="L78" s="145"/>
      <c r="M78" s="171"/>
      <c r="O78" s="82"/>
      <c r="P78" s="82"/>
      <c r="Q78" s="82"/>
    </row>
    <row r="79" spans="1:17" s="81" customFormat="1" x14ac:dyDescent="0.25">
      <c r="A79" s="87"/>
      <c r="B79" s="143"/>
      <c r="C79" s="143"/>
      <c r="D79" s="143"/>
      <c r="E79" s="143"/>
      <c r="F79" s="143"/>
      <c r="G79" s="143"/>
      <c r="H79" s="143"/>
      <c r="I79" s="143"/>
      <c r="J79" s="143"/>
      <c r="K79" s="144"/>
      <c r="L79" s="145"/>
      <c r="O79" s="82"/>
      <c r="P79" s="82"/>
      <c r="Q79" s="82"/>
    </row>
    <row r="80" spans="1:17" s="81" customFormat="1" x14ac:dyDescent="0.25">
      <c r="A80" s="87"/>
      <c r="L80" s="145"/>
      <c r="O80" s="82"/>
      <c r="P80" s="82"/>
      <c r="Q80" s="82"/>
    </row>
    <row r="81" spans="1:17" s="81" customFormat="1" x14ac:dyDescent="0.25">
      <c r="A81" s="87"/>
      <c r="L81" s="145"/>
      <c r="O81" s="82"/>
      <c r="P81" s="82"/>
      <c r="Q81" s="82"/>
    </row>
    <row r="82" spans="1:17" s="81" customFormat="1" x14ac:dyDescent="0.25">
      <c r="A82" s="87"/>
      <c r="B82" s="143"/>
      <c r="C82" s="143"/>
      <c r="D82" s="143"/>
      <c r="E82" s="143"/>
      <c r="F82" s="143"/>
      <c r="G82" s="143"/>
      <c r="H82" s="143"/>
      <c r="I82" s="143"/>
      <c r="J82" s="143"/>
      <c r="L82" s="145"/>
      <c r="M82" s="171"/>
      <c r="O82" s="82"/>
      <c r="P82" s="82"/>
      <c r="Q82" s="82"/>
    </row>
  </sheetData>
  <mergeCells count="8">
    <mergeCell ref="H51:I51"/>
    <mergeCell ref="H65:I65"/>
    <mergeCell ref="H6:J6"/>
    <mergeCell ref="K6:M6"/>
    <mergeCell ref="B7:D7"/>
    <mergeCell ref="E7:G7"/>
    <mergeCell ref="H7:J7"/>
    <mergeCell ref="K7:M7"/>
  </mergeCells>
  <pageMargins left="0" right="0" top="0.53" bottom="0.74" header="0.21" footer="0.4"/>
  <pageSetup scale="75" fitToHeight="0" orientation="portrait" r:id="rId1"/>
  <headerFooter alignWithMargins="0">
    <oddHeader xml:space="preserve">&amp;RKY PSC CN 2020-00378  
 Staff's Data Request Set 1 No. 5 Attachment C  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view="pageLayout" zoomScaleNormal="100" zoomScaleSheetLayoutView="100" workbookViewId="0">
      <selection activeCell="H2" sqref="H2"/>
    </sheetView>
  </sheetViews>
  <sheetFormatPr defaultColWidth="9.1796875" defaultRowHeight="15.5" x14ac:dyDescent="0.35"/>
  <cols>
    <col min="1" max="1" width="4.26953125" style="2" customWidth="1"/>
    <col min="2" max="2" width="16.7265625" style="2" customWidth="1"/>
    <col min="3" max="3" width="18.54296875" style="2" customWidth="1"/>
    <col min="4" max="4" width="16.1796875" style="2" customWidth="1"/>
    <col min="5" max="5" width="5.54296875" style="2" customWidth="1"/>
    <col min="6" max="6" width="18" style="2" customWidth="1"/>
    <col min="7" max="7" width="5.1796875" style="2" customWidth="1"/>
    <col min="8" max="8" width="32.54296875" style="2" customWidth="1"/>
    <col min="9" max="9" width="12" style="2" bestFit="1" customWidth="1"/>
    <col min="10" max="16384" width="9.1796875" style="2"/>
  </cols>
  <sheetData>
    <row r="1" spans="1:8" ht="18.5" x14ac:dyDescent="0.45">
      <c r="A1" s="1" t="s">
        <v>0</v>
      </c>
    </row>
    <row r="2" spans="1:8" ht="18.5" x14ac:dyDescent="0.45">
      <c r="A2" s="1" t="s">
        <v>1</v>
      </c>
    </row>
    <row r="3" spans="1:8" ht="18.5" x14ac:dyDescent="0.45">
      <c r="A3" s="3" t="s">
        <v>2</v>
      </c>
      <c r="C3" s="4">
        <v>44013</v>
      </c>
    </row>
    <row r="5" spans="1:8" x14ac:dyDescent="0.35">
      <c r="B5" s="5"/>
      <c r="C5" s="5"/>
      <c r="D5" s="6">
        <f>C3</f>
        <v>44013</v>
      </c>
      <c r="E5" s="7"/>
      <c r="F5" s="6">
        <f>C3</f>
        <v>44013</v>
      </c>
      <c r="G5" s="6"/>
      <c r="H5" s="7"/>
    </row>
    <row r="6" spans="1:8" x14ac:dyDescent="0.35">
      <c r="A6" s="8" t="s">
        <v>3</v>
      </c>
      <c r="B6" s="9" t="s">
        <v>4</v>
      </c>
      <c r="C6" s="9"/>
      <c r="D6" s="10" t="s">
        <v>5</v>
      </c>
      <c r="E6" s="11"/>
      <c r="F6" s="10" t="s">
        <v>6</v>
      </c>
      <c r="G6" s="10"/>
      <c r="H6" s="12"/>
    </row>
    <row r="7" spans="1:8" x14ac:dyDescent="0.35">
      <c r="A7" s="13">
        <v>1</v>
      </c>
      <c r="B7" s="12" t="s">
        <v>7</v>
      </c>
      <c r="C7" s="12"/>
      <c r="D7" s="14">
        <f>D24*0.3</f>
        <v>22102.831439999998</v>
      </c>
      <c r="E7" s="15"/>
      <c r="F7" s="14">
        <f>F24*0.3</f>
        <v>22214.987819999998</v>
      </c>
      <c r="G7" s="15"/>
      <c r="H7" s="16" t="s">
        <v>8</v>
      </c>
    </row>
    <row r="8" spans="1:8" x14ac:dyDescent="0.35">
      <c r="A8" s="13">
        <f>A7+1</f>
        <v>2</v>
      </c>
      <c r="B8" s="12" t="s">
        <v>7</v>
      </c>
      <c r="C8" s="12"/>
      <c r="D8" s="17">
        <f>IF(D24&gt;0,(D16-D24)*0.5,0)</f>
        <v>45603.557599999986</v>
      </c>
      <c r="E8" s="18"/>
      <c r="F8" s="17">
        <f>IF(F24&gt;0,(F16-F24)*0.5,0)</f>
        <v>51017.095300000001</v>
      </c>
      <c r="G8" s="18"/>
      <c r="H8" s="16" t="s">
        <v>9</v>
      </c>
    </row>
    <row r="9" spans="1:8" x14ac:dyDescent="0.35">
      <c r="A9" s="13">
        <f>A8+1</f>
        <v>3</v>
      </c>
      <c r="B9" s="19" t="s">
        <v>10</v>
      </c>
      <c r="C9" s="19"/>
      <c r="D9" s="20">
        <f>D7+D8</f>
        <v>67706.38903999998</v>
      </c>
      <c r="E9" s="21"/>
      <c r="F9" s="20">
        <f>F7+F8</f>
        <v>73232.083119999996</v>
      </c>
      <c r="G9" s="21"/>
      <c r="H9" s="22"/>
    </row>
    <row r="10" spans="1:8" x14ac:dyDescent="0.35">
      <c r="A10" s="13"/>
      <c r="B10" s="12"/>
      <c r="C10" s="12"/>
      <c r="D10" s="24"/>
      <c r="E10" s="25"/>
      <c r="F10" s="25"/>
      <c r="G10" s="25"/>
      <c r="H10" s="22"/>
    </row>
    <row r="11" spans="1:8" x14ac:dyDescent="0.35">
      <c r="A11" s="13">
        <f>A9+1</f>
        <v>4</v>
      </c>
      <c r="B11" s="12" t="s">
        <v>11</v>
      </c>
      <c r="C11" s="12"/>
      <c r="D11" s="26">
        <v>10230</v>
      </c>
      <c r="E11" s="27"/>
      <c r="F11" s="26">
        <v>29538.959999999999</v>
      </c>
      <c r="G11" s="28"/>
      <c r="H11" s="38"/>
    </row>
    <row r="12" spans="1:8" x14ac:dyDescent="0.35">
      <c r="A12" s="13">
        <f>A11+1</f>
        <v>5</v>
      </c>
      <c r="B12" s="12" t="s">
        <v>12</v>
      </c>
      <c r="C12" s="12"/>
      <c r="D12" s="29">
        <v>56220.2</v>
      </c>
      <c r="E12" s="30"/>
      <c r="F12" s="26">
        <v>48112.17</v>
      </c>
      <c r="G12" s="31"/>
      <c r="H12" s="22"/>
    </row>
    <row r="13" spans="1:8" x14ac:dyDescent="0.35">
      <c r="A13" s="13">
        <f>A12+1</f>
        <v>6</v>
      </c>
      <c r="B13" s="12" t="s">
        <v>13</v>
      </c>
      <c r="C13" s="32" t="s">
        <v>14</v>
      </c>
      <c r="D13" s="29">
        <v>529.26</v>
      </c>
      <c r="E13" s="30"/>
      <c r="F13" s="26">
        <v>529.26</v>
      </c>
      <c r="G13" s="31"/>
      <c r="H13" s="33"/>
    </row>
    <row r="14" spans="1:8" x14ac:dyDescent="0.35">
      <c r="A14" s="13"/>
      <c r="B14" s="12"/>
      <c r="C14" s="32" t="s">
        <v>15</v>
      </c>
      <c r="D14" s="29">
        <v>97903.76</v>
      </c>
      <c r="E14" s="34" t="s">
        <v>16</v>
      </c>
      <c r="F14" s="29">
        <v>97903.76</v>
      </c>
      <c r="G14" s="31"/>
      <c r="H14" s="33"/>
    </row>
    <row r="15" spans="1:8" x14ac:dyDescent="0.35">
      <c r="A15" s="13"/>
      <c r="B15" s="12"/>
      <c r="D15" s="35"/>
      <c r="E15" s="30"/>
      <c r="F15" s="31"/>
      <c r="G15" s="31"/>
      <c r="H15" s="36"/>
    </row>
    <row r="16" spans="1:8" x14ac:dyDescent="0.35">
      <c r="A16" s="13">
        <v>7</v>
      </c>
      <c r="B16" s="12" t="s">
        <v>17</v>
      </c>
      <c r="C16" s="12"/>
      <c r="D16" s="37">
        <f>D11+D12+D13+D14</f>
        <v>164883.21999999997</v>
      </c>
      <c r="E16" s="15"/>
      <c r="F16" s="14">
        <f>F11+F12+F13+F14</f>
        <v>176084.15</v>
      </c>
      <c r="G16" s="15"/>
      <c r="H16" s="38"/>
    </row>
    <row r="17" spans="1:9" x14ac:dyDescent="0.35">
      <c r="D17" s="39"/>
      <c r="H17" s="38"/>
    </row>
    <row r="18" spans="1:9" x14ac:dyDescent="0.35">
      <c r="A18" s="13">
        <f>A16+1</f>
        <v>8</v>
      </c>
      <c r="B18" s="12" t="s">
        <v>18</v>
      </c>
      <c r="C18" s="12"/>
      <c r="D18" s="37">
        <f>D19+D20+D21+D22</f>
        <v>3683805.24</v>
      </c>
      <c r="E18" s="31"/>
      <c r="F18" s="37">
        <f>F19+F20+F21+F22</f>
        <v>3702497.9699999997</v>
      </c>
      <c r="G18" s="31"/>
      <c r="H18" s="23"/>
    </row>
    <row r="19" spans="1:9" x14ac:dyDescent="0.35">
      <c r="A19" s="13"/>
      <c r="B19" s="12"/>
      <c r="C19" s="12" t="s">
        <v>19</v>
      </c>
      <c r="D19" s="29">
        <f>2465137.75-28644-107337.5</f>
        <v>2329156.25</v>
      </c>
      <c r="E19" s="31"/>
      <c r="F19" s="29">
        <f>2465137.75-107337.5</f>
        <v>2357800.25</v>
      </c>
      <c r="G19" s="31"/>
      <c r="H19" s="23"/>
      <c r="I19" s="23"/>
    </row>
    <row r="20" spans="1:9" x14ac:dyDescent="0.35">
      <c r="A20" s="13"/>
      <c r="B20" s="12"/>
      <c r="C20" s="12" t="s">
        <v>102</v>
      </c>
      <c r="D20" s="29">
        <v>18228</v>
      </c>
      <c r="E20" s="31" t="s">
        <v>21</v>
      </c>
      <c r="F20" s="29">
        <v>7444.08</v>
      </c>
      <c r="G20" s="31" t="s">
        <v>22</v>
      </c>
    </row>
    <row r="21" spans="1:9" x14ac:dyDescent="0.35">
      <c r="A21" s="13"/>
      <c r="B21" s="12"/>
      <c r="C21" s="12" t="s">
        <v>23</v>
      </c>
      <c r="D21" s="29">
        <v>0</v>
      </c>
      <c r="E21" s="31"/>
      <c r="F21" s="29">
        <v>0</v>
      </c>
      <c r="G21" s="31"/>
    </row>
    <row r="22" spans="1:9" x14ac:dyDescent="0.35">
      <c r="A22" s="13"/>
      <c r="B22" s="12"/>
      <c r="C22" s="12" t="s">
        <v>24</v>
      </c>
      <c r="D22" s="29">
        <v>1336420.99</v>
      </c>
      <c r="E22" s="31"/>
      <c r="F22" s="29">
        <v>1337253.6399999999</v>
      </c>
      <c r="G22" s="31"/>
    </row>
    <row r="23" spans="1:9" x14ac:dyDescent="0.35">
      <c r="A23" s="13"/>
      <c r="B23" s="12"/>
      <c r="C23" s="12"/>
      <c r="D23" s="29"/>
      <c r="E23" s="31"/>
      <c r="F23" s="29"/>
      <c r="G23" s="31"/>
    </row>
    <row r="24" spans="1:9" x14ac:dyDescent="0.35">
      <c r="A24" s="13">
        <v>9</v>
      </c>
      <c r="B24" s="12" t="s">
        <v>25</v>
      </c>
      <c r="C24" s="12"/>
      <c r="D24" s="38">
        <f>IF((D16/D18)&gt;=0.02,0.02*D18,D16)</f>
        <v>73676.104800000001</v>
      </c>
      <c r="E24" s="40"/>
      <c r="F24" s="38">
        <f>IF((F16/F18)&gt;=0.02,0.02*F18,F16)</f>
        <v>74049.959399999992</v>
      </c>
      <c r="G24" s="40"/>
      <c r="H24" s="12"/>
    </row>
    <row r="25" spans="1:9" x14ac:dyDescent="0.35">
      <c r="A25" s="13"/>
      <c r="B25" s="12"/>
      <c r="C25" s="12"/>
      <c r="D25" s="40"/>
      <c r="E25" s="40"/>
      <c r="F25" s="40"/>
      <c r="G25" s="40"/>
      <c r="H25" s="12"/>
    </row>
    <row r="26" spans="1:9" x14ac:dyDescent="0.35">
      <c r="A26" s="13">
        <f>A24+1</f>
        <v>10</v>
      </c>
      <c r="B26" s="12" t="s">
        <v>26</v>
      </c>
      <c r="C26" s="12"/>
      <c r="D26" s="41">
        <f>(D11+D12+D13+D14)/D18</f>
        <v>4.4758940621953174E-2</v>
      </c>
      <c r="E26" s="41"/>
      <c r="F26" s="41">
        <f>(F11+F12+F13+F14)/F18</f>
        <v>4.7558202982620409E-2</v>
      </c>
      <c r="G26" s="41"/>
      <c r="H26" s="12"/>
    </row>
    <row r="27" spans="1:9" x14ac:dyDescent="0.35">
      <c r="B27" s="12"/>
      <c r="C27" s="12"/>
      <c r="D27" s="41"/>
      <c r="E27" s="41"/>
      <c r="F27" s="41"/>
      <c r="G27" s="41"/>
      <c r="H27" s="12"/>
    </row>
    <row r="28" spans="1:9" x14ac:dyDescent="0.35">
      <c r="B28" s="12"/>
      <c r="C28" s="12"/>
      <c r="D28" s="41"/>
      <c r="E28" s="41"/>
      <c r="F28" s="41"/>
      <c r="G28" s="41"/>
      <c r="H28" s="12"/>
    </row>
    <row r="29" spans="1:9" x14ac:dyDescent="0.35">
      <c r="A29" s="204" t="s">
        <v>27</v>
      </c>
      <c r="B29" s="204"/>
      <c r="C29" s="42"/>
    </row>
    <row r="30" spans="1:9" ht="15.75" customHeight="1" x14ac:dyDescent="0.35">
      <c r="A30" s="43" t="s">
        <v>28</v>
      </c>
      <c r="B30" s="44"/>
      <c r="C30" s="44"/>
      <c r="D30" s="45" t="s">
        <v>29</v>
      </c>
    </row>
    <row r="31" spans="1:9" ht="15.75" customHeight="1" x14ac:dyDescent="0.35">
      <c r="A31" s="43" t="s">
        <v>30</v>
      </c>
      <c r="B31" s="43"/>
      <c r="C31" s="44"/>
    </row>
    <row r="32" spans="1:9" ht="15" customHeight="1" x14ac:dyDescent="0.35">
      <c r="A32" s="43" t="s">
        <v>31</v>
      </c>
      <c r="B32" s="43"/>
      <c r="C32" s="44"/>
    </row>
    <row r="33" spans="1:3" ht="15.75" customHeight="1" x14ac:dyDescent="0.35">
      <c r="A33" s="43" t="s">
        <v>32</v>
      </c>
      <c r="B33" s="43"/>
      <c r="C33" s="44"/>
    </row>
    <row r="34" spans="1:3" ht="15.75" customHeight="1" x14ac:dyDescent="0.35">
      <c r="A34" s="43" t="s">
        <v>33</v>
      </c>
      <c r="B34" s="43"/>
      <c r="C34" s="44"/>
    </row>
    <row r="35" spans="1:3" ht="15.75" customHeight="1" x14ac:dyDescent="0.35">
      <c r="A35" s="43" t="s">
        <v>34</v>
      </c>
      <c r="B35" s="43"/>
      <c r="C35" s="44"/>
    </row>
    <row r="36" spans="1:3" ht="15.75" customHeight="1" x14ac:dyDescent="0.35">
      <c r="A36" s="43" t="s">
        <v>35</v>
      </c>
      <c r="B36" s="43"/>
      <c r="C36" s="44"/>
    </row>
    <row r="37" spans="1:3" ht="15.75" customHeight="1" x14ac:dyDescent="0.35">
      <c r="A37" s="43" t="s">
        <v>36</v>
      </c>
      <c r="B37" s="43"/>
      <c r="C37" s="44"/>
    </row>
    <row r="39" spans="1:3" x14ac:dyDescent="0.35">
      <c r="A39" s="46" t="s">
        <v>37</v>
      </c>
    </row>
    <row r="41" spans="1:3" x14ac:dyDescent="0.35">
      <c r="A41" s="47"/>
    </row>
    <row r="42" spans="1:3" x14ac:dyDescent="0.35">
      <c r="A42" s="47"/>
    </row>
    <row r="43" spans="1:3" x14ac:dyDescent="0.35">
      <c r="A43" s="47"/>
    </row>
  </sheetData>
  <mergeCells count="1">
    <mergeCell ref="A29:B29"/>
  </mergeCells>
  <pageMargins left="0.25" right="0.25" top="0.75" bottom="0.75" header="0.3" footer="0.3"/>
  <pageSetup scale="86" orientation="portrait" r:id="rId1"/>
  <headerFooter>
    <oddHeader xml:space="preserve">&amp;RKY PSC CN 2020-00378  
 Staff's Data Request Set 1 No. 5 Attachment C  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view="pageLayout" zoomScaleNormal="100" workbookViewId="0">
      <selection activeCell="L3" sqref="L3"/>
    </sheetView>
  </sheetViews>
  <sheetFormatPr defaultRowHeight="14.5" x14ac:dyDescent="0.35"/>
  <cols>
    <col min="1" max="1" width="15.26953125" customWidth="1"/>
    <col min="2" max="2" width="14.81640625" style="48" customWidth="1"/>
    <col min="3" max="3" width="9.26953125" style="48" customWidth="1"/>
    <col min="4" max="4" width="9.81640625" style="48" customWidth="1"/>
    <col min="5" max="5" width="7.81640625" style="48" customWidth="1"/>
    <col min="6" max="6" width="9.7265625" style="48" customWidth="1"/>
    <col min="7" max="7" width="10" style="49" customWidth="1"/>
    <col min="8" max="8" width="23.54296875" customWidth="1"/>
    <col min="9" max="9" width="1.453125" customWidth="1"/>
    <col min="10" max="10" width="15.26953125" style="50" customWidth="1"/>
    <col min="11" max="11" width="4.1796875" style="50" bestFit="1" customWidth="1"/>
    <col min="12" max="12" width="22.453125" customWidth="1"/>
    <col min="14" max="14" width="16" customWidth="1"/>
    <col min="15" max="15" width="12.81640625" customWidth="1"/>
    <col min="16" max="16" width="11.81640625" bestFit="1" customWidth="1"/>
  </cols>
  <sheetData>
    <row r="1" spans="1:14" ht="18.5" x14ac:dyDescent="0.45">
      <c r="A1" s="1" t="s">
        <v>38</v>
      </c>
    </row>
    <row r="2" spans="1:14" ht="18.5" x14ac:dyDescent="0.45">
      <c r="A2" s="1"/>
    </row>
    <row r="3" spans="1:14" ht="18.5" x14ac:dyDescent="0.45">
      <c r="A3" s="1" t="s">
        <v>39</v>
      </c>
      <c r="B3" s="51">
        <f>'July 20 TCPS CALC'!C3</f>
        <v>44013</v>
      </c>
      <c r="C3" s="52"/>
    </row>
    <row r="5" spans="1:14" x14ac:dyDescent="0.35">
      <c r="D5" s="53" t="s">
        <v>40</v>
      </c>
      <c r="E5" s="53" t="s">
        <v>41</v>
      </c>
    </row>
    <row r="6" spans="1:14" x14ac:dyDescent="0.35">
      <c r="C6" s="54" t="s">
        <v>42</v>
      </c>
      <c r="D6" s="54" t="s">
        <v>43</v>
      </c>
      <c r="E6" s="54" t="s">
        <v>44</v>
      </c>
      <c r="F6" s="54" t="s">
        <v>45</v>
      </c>
      <c r="G6" s="55" t="s">
        <v>46</v>
      </c>
      <c r="H6" s="54" t="s">
        <v>47</v>
      </c>
      <c r="J6" s="56" t="s">
        <v>48</v>
      </c>
      <c r="K6" s="56"/>
      <c r="L6" s="56" t="s">
        <v>49</v>
      </c>
    </row>
    <row r="7" spans="1:14" x14ac:dyDescent="0.35">
      <c r="A7" t="s">
        <v>50</v>
      </c>
      <c r="B7" s="48" t="s">
        <v>51</v>
      </c>
      <c r="C7" s="48" t="s">
        <v>52</v>
      </c>
      <c r="D7" s="48">
        <v>352234</v>
      </c>
      <c r="E7" s="48" t="s">
        <v>53</v>
      </c>
      <c r="F7" s="57">
        <v>16000</v>
      </c>
      <c r="G7" s="58">
        <v>4.5805999999999996</v>
      </c>
      <c r="H7" s="59" t="s">
        <v>54</v>
      </c>
      <c r="J7" s="50">
        <f>F7*G7</f>
        <v>73289.599999999991</v>
      </c>
      <c r="K7" s="60"/>
      <c r="L7" s="50">
        <f>F7*G7</f>
        <v>73289.599999999991</v>
      </c>
      <c r="M7" s="61"/>
      <c r="N7" s="50"/>
    </row>
    <row r="8" spans="1:14" x14ac:dyDescent="0.35">
      <c r="C8" s="48" t="s">
        <v>55</v>
      </c>
      <c r="D8" s="48">
        <v>80160</v>
      </c>
      <c r="E8" s="48" t="s">
        <v>56</v>
      </c>
      <c r="F8" s="57">
        <v>104940</v>
      </c>
      <c r="G8" s="58">
        <v>4.1849999999999996</v>
      </c>
      <c r="H8" s="59" t="s">
        <v>54</v>
      </c>
      <c r="J8" s="67">
        <f>F8*G8*(8/31)</f>
        <v>113335.19999999998</v>
      </c>
      <c r="K8" s="178"/>
      <c r="L8" s="67">
        <f>F8*4.898*(8/31)</f>
        <v>132644.16</v>
      </c>
      <c r="N8" s="50"/>
    </row>
    <row r="9" spans="1:14" x14ac:dyDescent="0.35">
      <c r="F9" s="57"/>
      <c r="G9" s="58"/>
      <c r="H9" s="179" t="s">
        <v>103</v>
      </c>
      <c r="I9" s="180"/>
      <c r="J9" s="181">
        <f>SUM(J7:J8)</f>
        <v>186624.8</v>
      </c>
      <c r="K9" s="182"/>
      <c r="L9" s="181">
        <f>SUM(L7:L8)</f>
        <v>205933.76</v>
      </c>
    </row>
    <row r="10" spans="1:14" x14ac:dyDescent="0.35">
      <c r="D10" s="48">
        <v>0</v>
      </c>
      <c r="F10" s="57"/>
      <c r="G10" s="58"/>
      <c r="H10" s="59"/>
      <c r="K10" s="63"/>
      <c r="L10" s="50"/>
    </row>
    <row r="11" spans="1:14" x14ac:dyDescent="0.35">
      <c r="D11" s="48">
        <v>0</v>
      </c>
      <c r="F11" s="64"/>
      <c r="G11" s="65" t="s">
        <v>57</v>
      </c>
      <c r="H11" s="59"/>
      <c r="K11" s="63"/>
      <c r="L11" s="50"/>
    </row>
    <row r="12" spans="1:14" x14ac:dyDescent="0.35">
      <c r="A12" t="s">
        <v>58</v>
      </c>
      <c r="B12" s="48" t="s">
        <v>59</v>
      </c>
      <c r="C12" s="48" t="s">
        <v>52</v>
      </c>
      <c r="D12" s="48">
        <v>352234</v>
      </c>
      <c r="E12" s="48" t="s">
        <v>53</v>
      </c>
      <c r="F12" s="57">
        <v>16000</v>
      </c>
      <c r="G12" s="58">
        <v>4.5805999999999996</v>
      </c>
      <c r="H12" s="59" t="s">
        <v>60</v>
      </c>
      <c r="J12" s="50">
        <f>F12*G12</f>
        <v>73289.599999999991</v>
      </c>
      <c r="K12" s="60"/>
      <c r="L12" s="50">
        <f>F12*G12</f>
        <v>73289.599999999991</v>
      </c>
      <c r="N12" s="50"/>
    </row>
    <row r="13" spans="1:14" x14ac:dyDescent="0.35">
      <c r="C13" s="48" t="s">
        <v>55</v>
      </c>
      <c r="D13" s="48">
        <v>80160</v>
      </c>
      <c r="E13" s="48" t="s">
        <v>56</v>
      </c>
      <c r="F13" s="57">
        <v>104940</v>
      </c>
      <c r="G13" s="58">
        <v>4.1849999999999996</v>
      </c>
      <c r="H13" s="59" t="s">
        <v>60</v>
      </c>
      <c r="J13" s="67">
        <f>F13*G13*(8/31)</f>
        <v>113335.19999999998</v>
      </c>
      <c r="K13" s="178"/>
      <c r="L13" s="66">
        <f>F13*G13*8/31</f>
        <v>113335.2</v>
      </c>
      <c r="N13" s="50"/>
    </row>
    <row r="14" spans="1:14" x14ac:dyDescent="0.35">
      <c r="F14" s="57"/>
      <c r="G14" s="58"/>
      <c r="H14" s="183" t="s">
        <v>104</v>
      </c>
      <c r="I14" s="184"/>
      <c r="J14" s="181">
        <f>SUM(J12:J13)</f>
        <v>186624.8</v>
      </c>
      <c r="K14" s="185"/>
      <c r="L14" s="186">
        <f>SUM(L12:L13)</f>
        <v>186624.8</v>
      </c>
      <c r="N14" s="50"/>
    </row>
    <row r="15" spans="1:14" x14ac:dyDescent="0.35">
      <c r="A15" s="68"/>
      <c r="C15" s="53"/>
      <c r="D15" s="53"/>
      <c r="E15" s="53"/>
      <c r="F15" s="69"/>
      <c r="G15" s="70"/>
      <c r="H15" s="71"/>
      <c r="I15" s="72"/>
      <c r="J15" s="62"/>
      <c r="K15" s="67"/>
      <c r="L15" s="62"/>
      <c r="N15" s="50"/>
    </row>
    <row r="16" spans="1:14" x14ac:dyDescent="0.35">
      <c r="F16" s="220" t="s">
        <v>105</v>
      </c>
      <c r="G16" s="220"/>
      <c r="H16" s="220"/>
      <c r="J16" s="187">
        <f>J9-J14</f>
        <v>0</v>
      </c>
      <c r="K16" s="187"/>
      <c r="L16" s="187">
        <f>L9-L14</f>
        <v>19308.960000000021</v>
      </c>
    </row>
    <row r="17" spans="1:16" x14ac:dyDescent="0.35">
      <c r="D17" s="48">
        <v>0</v>
      </c>
      <c r="H17" s="59"/>
      <c r="L17" s="50"/>
    </row>
    <row r="18" spans="1:16" x14ac:dyDescent="0.35">
      <c r="A18" s="72" t="s">
        <v>61</v>
      </c>
      <c r="C18" s="53" t="s">
        <v>55</v>
      </c>
      <c r="D18" s="53" t="s">
        <v>56</v>
      </c>
      <c r="F18" s="57">
        <v>30000</v>
      </c>
      <c r="G18" s="58">
        <v>0.34100000000000003</v>
      </c>
      <c r="H18" s="59"/>
      <c r="J18" s="67">
        <v>10230</v>
      </c>
      <c r="L18" s="67">
        <v>10230</v>
      </c>
    </row>
    <row r="19" spans="1:16" x14ac:dyDescent="0.35">
      <c r="A19" s="72" t="s">
        <v>61</v>
      </c>
      <c r="C19" s="53" t="s">
        <v>55</v>
      </c>
      <c r="D19" s="53" t="s">
        <v>65</v>
      </c>
      <c r="F19" s="57">
        <v>0</v>
      </c>
      <c r="G19" s="58">
        <v>0</v>
      </c>
      <c r="H19" s="59"/>
      <c r="J19" s="67">
        <v>0</v>
      </c>
      <c r="L19" s="67">
        <v>0</v>
      </c>
    </row>
    <row r="20" spans="1:16" x14ac:dyDescent="0.35">
      <c r="A20" s="72" t="s">
        <v>61</v>
      </c>
      <c r="C20" s="53" t="s">
        <v>106</v>
      </c>
      <c r="D20" s="53" t="s">
        <v>53</v>
      </c>
      <c r="F20" s="57">
        <v>0</v>
      </c>
      <c r="G20" s="58">
        <v>0</v>
      </c>
      <c r="H20" s="59"/>
      <c r="J20" s="67">
        <v>0</v>
      </c>
      <c r="L20" s="67">
        <v>0</v>
      </c>
    </row>
    <row r="21" spans="1:16" x14ac:dyDescent="0.35">
      <c r="A21" s="72" t="s">
        <v>61</v>
      </c>
      <c r="C21" s="53" t="s">
        <v>64</v>
      </c>
      <c r="D21" s="53" t="s">
        <v>65</v>
      </c>
      <c r="F21" s="57">
        <v>0</v>
      </c>
      <c r="G21" s="58">
        <v>0</v>
      </c>
      <c r="H21" s="59"/>
      <c r="J21" s="67">
        <v>0</v>
      </c>
      <c r="L21" s="67">
        <v>0</v>
      </c>
    </row>
    <row r="22" spans="1:16" x14ac:dyDescent="0.35">
      <c r="H22" s="59"/>
      <c r="L22" s="50"/>
    </row>
    <row r="23" spans="1:16" x14ac:dyDescent="0.35">
      <c r="F23" s="220" t="s">
        <v>107</v>
      </c>
      <c r="G23" s="220"/>
      <c r="H23" s="220"/>
      <c r="J23" s="187">
        <f>SUM(J18:J22)</f>
        <v>10230</v>
      </c>
      <c r="L23" s="187">
        <f>SUM(L18:L22)</f>
        <v>10230</v>
      </c>
    </row>
    <row r="24" spans="1:16" x14ac:dyDescent="0.35">
      <c r="H24" s="59"/>
      <c r="L24" s="50"/>
    </row>
    <row r="25" spans="1:16" x14ac:dyDescent="0.35">
      <c r="H25" s="71" t="s">
        <v>66</v>
      </c>
      <c r="J25" s="73">
        <f>J16+J23</f>
        <v>10230</v>
      </c>
      <c r="K25" s="74"/>
      <c r="L25" s="73">
        <f>L16+L23</f>
        <v>29538.960000000021</v>
      </c>
      <c r="N25" s="50"/>
      <c r="O25" s="50"/>
      <c r="P25" s="50"/>
    </row>
    <row r="27" spans="1:16" x14ac:dyDescent="0.35">
      <c r="A27" s="221" t="s">
        <v>108</v>
      </c>
      <c r="B27" s="222"/>
      <c r="C27" s="222"/>
      <c r="D27" s="222"/>
      <c r="E27" s="222"/>
      <c r="F27" s="222"/>
      <c r="G27" s="223"/>
    </row>
    <row r="28" spans="1:16" x14ac:dyDescent="0.35">
      <c r="A28" s="188"/>
      <c r="B28" s="189">
        <f>B3</f>
        <v>44013</v>
      </c>
      <c r="C28" s="190" t="s">
        <v>109</v>
      </c>
      <c r="D28" s="191" t="s">
        <v>110</v>
      </c>
      <c r="E28" s="191"/>
      <c r="F28" s="191"/>
      <c r="G28" s="192"/>
    </row>
    <row r="29" spans="1:16" x14ac:dyDescent="0.35">
      <c r="A29" s="193"/>
      <c r="B29" s="194" t="s">
        <v>111</v>
      </c>
      <c r="C29" s="191" t="s">
        <v>112</v>
      </c>
      <c r="D29" s="191" t="s">
        <v>113</v>
      </c>
      <c r="E29" s="224" t="s">
        <v>114</v>
      </c>
      <c r="F29" s="224"/>
      <c r="G29" s="192"/>
    </row>
    <row r="30" spans="1:16" x14ac:dyDescent="0.35">
      <c r="A30" s="195" t="s">
        <v>115</v>
      </c>
      <c r="B30" s="196">
        <v>6.9509999999999996</v>
      </c>
      <c r="C30" s="197">
        <v>5.9390000000000001</v>
      </c>
      <c r="D30" s="198">
        <f>(B30/C30)-1</f>
        <v>0.17039905708031644</v>
      </c>
      <c r="E30" s="225">
        <f>(4.185*(D30+1))</f>
        <v>4.898120053881124</v>
      </c>
      <c r="F30" s="225"/>
      <c r="G30" s="192"/>
    </row>
    <row r="31" spans="1:16" x14ac:dyDescent="0.35">
      <c r="A31" s="199"/>
      <c r="B31" s="191"/>
      <c r="C31" s="191"/>
      <c r="D31" s="191"/>
      <c r="E31" s="191"/>
      <c r="F31" s="191"/>
      <c r="G31" s="192"/>
    </row>
    <row r="32" spans="1:16" x14ac:dyDescent="0.35">
      <c r="A32" s="200" t="s">
        <v>116</v>
      </c>
      <c r="B32" s="201"/>
      <c r="C32" s="201"/>
      <c r="D32" s="201"/>
      <c r="E32" s="201"/>
      <c r="F32" s="201"/>
      <c r="G32" s="202"/>
    </row>
    <row r="34" spans="1:7" x14ac:dyDescent="0.35">
      <c r="A34" s="72" t="s">
        <v>68</v>
      </c>
      <c r="B34" s="77" t="s">
        <v>117</v>
      </c>
      <c r="C34" s="77"/>
      <c r="D34" s="77"/>
      <c r="E34" s="77"/>
      <c r="F34" s="77"/>
      <c r="G34" s="78"/>
    </row>
    <row r="35" spans="1:7" x14ac:dyDescent="0.35">
      <c r="A35" s="72"/>
      <c r="B35" s="77"/>
      <c r="C35" s="77"/>
      <c r="D35" s="77"/>
      <c r="E35" s="77"/>
      <c r="F35" s="77"/>
      <c r="G35" s="78"/>
    </row>
    <row r="36" spans="1:7" x14ac:dyDescent="0.35">
      <c r="A36" s="72" t="s">
        <v>70</v>
      </c>
      <c r="B36" s="77" t="s">
        <v>69</v>
      </c>
      <c r="C36" s="77"/>
      <c r="D36" s="77"/>
      <c r="E36" s="77"/>
      <c r="F36" s="77"/>
      <c r="G36" s="78"/>
    </row>
    <row r="37" spans="1:7" x14ac:dyDescent="0.35">
      <c r="A37" s="72"/>
      <c r="B37" s="77"/>
      <c r="C37" s="77"/>
      <c r="D37" s="77"/>
      <c r="E37" s="77"/>
      <c r="F37" s="77"/>
      <c r="G37" s="78"/>
    </row>
    <row r="38" spans="1:7" x14ac:dyDescent="0.35">
      <c r="A38" s="72" t="s">
        <v>72</v>
      </c>
      <c r="B38" s="77" t="s">
        <v>71</v>
      </c>
      <c r="C38" s="77"/>
      <c r="D38" s="77"/>
      <c r="E38" s="77"/>
      <c r="F38" s="77"/>
      <c r="G38" s="78"/>
    </row>
    <row r="39" spans="1:7" x14ac:dyDescent="0.35">
      <c r="A39" s="72"/>
    </row>
  </sheetData>
  <mergeCells count="5">
    <mergeCell ref="F16:H16"/>
    <mergeCell ref="F23:H23"/>
    <mergeCell ref="A27:G27"/>
    <mergeCell ref="E29:F29"/>
    <mergeCell ref="E30:F30"/>
  </mergeCells>
  <pageMargins left="0.17" right="0.17" top="0.66" bottom="0.55000000000000004" header="0.24" footer="0.33"/>
  <pageSetup scale="72" fitToHeight="0" orientation="portrait" r:id="rId1"/>
  <headerFooter>
    <oddHeader xml:space="preserve">&amp;RKY PSC CN 2020-00378  
 Staff's Data Request Set 1 No. 5 Attachment C  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2"/>
  <sheetViews>
    <sheetView view="pageLayout" zoomScaleNormal="100" workbookViewId="0">
      <selection activeCell="L3" sqref="L3"/>
    </sheetView>
  </sheetViews>
  <sheetFormatPr defaultColWidth="9.1796875" defaultRowHeight="12.5" x14ac:dyDescent="0.25"/>
  <cols>
    <col min="1" max="1" width="9.1796875" style="87" customWidth="1"/>
    <col min="2" max="2" width="10.1796875" style="81" customWidth="1"/>
    <col min="3" max="3" width="11.1796875" style="81" customWidth="1"/>
    <col min="4" max="4" width="9.26953125" style="81" customWidth="1"/>
    <col min="5" max="5" width="10.81640625" style="81" customWidth="1"/>
    <col min="6" max="6" width="13.26953125" style="81" customWidth="1"/>
    <col min="7" max="7" width="13" style="81" customWidth="1"/>
    <col min="8" max="8" width="10.1796875" style="81" customWidth="1"/>
    <col min="9" max="9" width="14.54296875" style="81" customWidth="1"/>
    <col min="10" max="13" width="10.1796875" style="81" customWidth="1"/>
    <col min="14" max="14" width="8.453125" style="81" hidden="1" customWidth="1"/>
    <col min="15" max="15" width="1.453125" style="82" customWidth="1"/>
    <col min="16" max="16" width="11" style="82" hidden="1" customWidth="1"/>
    <col min="17" max="17" width="11.453125" style="82" customWidth="1"/>
    <col min="18" max="16384" width="9.1796875" style="82"/>
  </cols>
  <sheetData>
    <row r="1" spans="1:16" ht="18" x14ac:dyDescent="0.4">
      <c r="A1" s="79" t="s">
        <v>73</v>
      </c>
      <c r="B1" s="80"/>
      <c r="C1" s="80"/>
      <c r="D1" s="80"/>
    </row>
    <row r="2" spans="1:16" ht="18" x14ac:dyDescent="0.4">
      <c r="A2" s="79"/>
      <c r="B2" s="80"/>
      <c r="C2" s="80"/>
      <c r="D2" s="80"/>
    </row>
    <row r="3" spans="1:16" ht="18" x14ac:dyDescent="0.4">
      <c r="A3" s="79" t="s">
        <v>74</v>
      </c>
      <c r="B3" s="83"/>
      <c r="C3" s="84">
        <f>'July 20 TCPS CALC'!C3</f>
        <v>44013</v>
      </c>
      <c r="E3" s="85"/>
      <c r="F3" s="85"/>
      <c r="G3" s="85"/>
      <c r="H3" s="85"/>
      <c r="I3" s="85"/>
      <c r="J3" s="85"/>
      <c r="K3" s="85"/>
      <c r="L3" s="85"/>
      <c r="M3" s="86"/>
    </row>
    <row r="5" spans="1:16" ht="13" thickBot="1" x14ac:dyDescent="0.3"/>
    <row r="6" spans="1:16" ht="13" x14ac:dyDescent="0.3">
      <c r="H6" s="206" t="s">
        <v>75</v>
      </c>
      <c r="I6" s="207"/>
      <c r="J6" s="207"/>
      <c r="K6" s="208" t="s">
        <v>76</v>
      </c>
      <c r="L6" s="209"/>
      <c r="M6" s="210"/>
      <c r="P6" s="81" t="s">
        <v>77</v>
      </c>
    </row>
    <row r="7" spans="1:16" ht="13" x14ac:dyDescent="0.3">
      <c r="A7" s="88" t="s">
        <v>78</v>
      </c>
      <c r="B7" s="211" t="s">
        <v>79</v>
      </c>
      <c r="C7" s="212"/>
      <c r="D7" s="213"/>
      <c r="E7" s="214" t="s">
        <v>80</v>
      </c>
      <c r="F7" s="215"/>
      <c r="G7" s="216"/>
      <c r="H7" s="212" t="s">
        <v>81</v>
      </c>
      <c r="I7" s="212"/>
      <c r="J7" s="212"/>
      <c r="K7" s="217" t="s">
        <v>82</v>
      </c>
      <c r="L7" s="218"/>
      <c r="M7" s="219"/>
      <c r="P7" s="81" t="s">
        <v>83</v>
      </c>
    </row>
    <row r="8" spans="1:16" ht="13" x14ac:dyDescent="0.3">
      <c r="A8" s="89" t="s">
        <v>84</v>
      </c>
      <c r="B8" s="90" t="s">
        <v>85</v>
      </c>
      <c r="C8" s="91" t="s">
        <v>86</v>
      </c>
      <c r="D8" s="92" t="s">
        <v>87</v>
      </c>
      <c r="E8" s="93" t="s">
        <v>85</v>
      </c>
      <c r="F8" s="94" t="s">
        <v>86</v>
      </c>
      <c r="G8" s="95" t="s">
        <v>87</v>
      </c>
      <c r="H8" s="91" t="s">
        <v>85</v>
      </c>
      <c r="I8" s="91" t="s">
        <v>86</v>
      </c>
      <c r="J8" s="91" t="s">
        <v>87</v>
      </c>
      <c r="K8" s="96" t="s">
        <v>85</v>
      </c>
      <c r="L8" s="97" t="s">
        <v>86</v>
      </c>
      <c r="M8" s="98" t="s">
        <v>87</v>
      </c>
      <c r="N8" s="99" t="s">
        <v>84</v>
      </c>
      <c r="P8" s="100" t="s">
        <v>88</v>
      </c>
    </row>
    <row r="9" spans="1:16" ht="13" x14ac:dyDescent="0.3">
      <c r="A9" s="101"/>
      <c r="B9" s="102"/>
      <c r="C9" s="103"/>
      <c r="D9" s="104"/>
      <c r="E9" s="105"/>
      <c r="F9" s="106"/>
      <c r="G9" s="107"/>
      <c r="H9" s="108"/>
      <c r="I9" s="108" t="s">
        <v>89</v>
      </c>
      <c r="J9" s="109"/>
      <c r="K9" s="110"/>
      <c r="L9" s="111"/>
      <c r="M9" s="112"/>
    </row>
    <row r="10" spans="1:16" ht="13" x14ac:dyDescent="0.3">
      <c r="A10" s="87">
        <f>C3</f>
        <v>44013</v>
      </c>
      <c r="B10" s="113">
        <v>1.26</v>
      </c>
      <c r="C10" s="114">
        <v>1.33</v>
      </c>
      <c r="D10" s="115">
        <v>1.42</v>
      </c>
      <c r="E10" s="116">
        <v>1.52</v>
      </c>
      <c r="F10" s="117">
        <v>1.55</v>
      </c>
      <c r="G10" s="118">
        <v>1.64</v>
      </c>
      <c r="H10" s="113">
        <v>1.52</v>
      </c>
      <c r="I10" s="114">
        <v>1.51</v>
      </c>
      <c r="J10" s="115">
        <v>1.56</v>
      </c>
      <c r="K10" s="119">
        <f t="shared" ref="K10:M37" si="0">AVERAGE(B10,E10,H10)</f>
        <v>1.4333333333333336</v>
      </c>
      <c r="L10" s="120">
        <f t="shared" si="0"/>
        <v>1.4633333333333332</v>
      </c>
      <c r="M10" s="121">
        <f t="shared" si="0"/>
        <v>1.5399999999999998</v>
      </c>
      <c r="N10" s="87">
        <f t="shared" ref="N10:N40" si="1">A10</f>
        <v>44013</v>
      </c>
      <c r="P10" s="122">
        <f>H10-E10</f>
        <v>0</v>
      </c>
    </row>
    <row r="11" spans="1:16" x14ac:dyDescent="0.25">
      <c r="A11" s="87">
        <f>A10+1</f>
        <v>44014</v>
      </c>
      <c r="B11" s="123">
        <f t="shared" ref="B11:B40" si="2">$B$10</f>
        <v>1.26</v>
      </c>
      <c r="C11" s="124">
        <f>$C$10</f>
        <v>1.33</v>
      </c>
      <c r="D11" s="125">
        <f>$D$10</f>
        <v>1.42</v>
      </c>
      <c r="E11" s="116">
        <v>1.42</v>
      </c>
      <c r="F11" s="117">
        <v>1.47</v>
      </c>
      <c r="G11" s="118">
        <v>1.55</v>
      </c>
      <c r="H11" s="126">
        <f t="shared" ref="H11:J15" si="3">H10</f>
        <v>1.52</v>
      </c>
      <c r="I11" s="126">
        <f t="shared" si="3"/>
        <v>1.51</v>
      </c>
      <c r="J11" s="126">
        <f t="shared" si="3"/>
        <v>1.56</v>
      </c>
      <c r="K11" s="119">
        <f t="shared" si="0"/>
        <v>1.3999999999999997</v>
      </c>
      <c r="L11" s="120">
        <f t="shared" si="0"/>
        <v>1.4366666666666665</v>
      </c>
      <c r="M11" s="121">
        <f t="shared" si="0"/>
        <v>1.5099999999999998</v>
      </c>
      <c r="N11" s="127">
        <f t="shared" si="1"/>
        <v>44014</v>
      </c>
      <c r="P11" s="122">
        <f t="shared" ref="P11:P40" si="4">H11-E11</f>
        <v>0.10000000000000009</v>
      </c>
    </row>
    <row r="12" spans="1:16" x14ac:dyDescent="0.25">
      <c r="A12" s="87">
        <f t="shared" ref="A12:A40" si="5">A11+1</f>
        <v>44015</v>
      </c>
      <c r="B12" s="123">
        <f t="shared" si="2"/>
        <v>1.26</v>
      </c>
      <c r="C12" s="124">
        <f t="shared" ref="C12:C40" si="6">$C$10</f>
        <v>1.33</v>
      </c>
      <c r="D12" s="125">
        <f t="shared" ref="D12:D40" si="7">$D$10</f>
        <v>1.42</v>
      </c>
      <c r="E12" s="116">
        <v>1.44</v>
      </c>
      <c r="F12" s="117">
        <v>1.48</v>
      </c>
      <c r="G12" s="118">
        <v>1.55</v>
      </c>
      <c r="H12" s="126">
        <f t="shared" si="3"/>
        <v>1.52</v>
      </c>
      <c r="I12" s="126">
        <f t="shared" si="3"/>
        <v>1.51</v>
      </c>
      <c r="J12" s="126">
        <f t="shared" si="3"/>
        <v>1.56</v>
      </c>
      <c r="K12" s="119">
        <f t="shared" si="0"/>
        <v>1.406666666666667</v>
      </c>
      <c r="L12" s="120">
        <f t="shared" si="0"/>
        <v>1.4400000000000002</v>
      </c>
      <c r="M12" s="121">
        <f t="shared" si="0"/>
        <v>1.5099999999999998</v>
      </c>
      <c r="N12" s="87">
        <f t="shared" si="1"/>
        <v>44015</v>
      </c>
      <c r="P12" s="122">
        <f t="shared" si="4"/>
        <v>8.0000000000000071E-2</v>
      </c>
    </row>
    <row r="13" spans="1:16" x14ac:dyDescent="0.25">
      <c r="A13" s="87">
        <f t="shared" si="5"/>
        <v>44016</v>
      </c>
      <c r="B13" s="123">
        <f t="shared" si="2"/>
        <v>1.26</v>
      </c>
      <c r="C13" s="124">
        <f t="shared" si="6"/>
        <v>1.33</v>
      </c>
      <c r="D13" s="125">
        <f t="shared" si="7"/>
        <v>1.42</v>
      </c>
      <c r="E13" s="116">
        <v>1.44</v>
      </c>
      <c r="F13" s="117">
        <v>1.48</v>
      </c>
      <c r="G13" s="118">
        <v>1.55</v>
      </c>
      <c r="H13" s="126">
        <f t="shared" si="3"/>
        <v>1.52</v>
      </c>
      <c r="I13" s="126">
        <f t="shared" si="3"/>
        <v>1.51</v>
      </c>
      <c r="J13" s="126">
        <f t="shared" si="3"/>
        <v>1.56</v>
      </c>
      <c r="K13" s="119">
        <f t="shared" si="0"/>
        <v>1.406666666666667</v>
      </c>
      <c r="L13" s="120">
        <f t="shared" si="0"/>
        <v>1.4400000000000002</v>
      </c>
      <c r="M13" s="121">
        <f t="shared" si="0"/>
        <v>1.5099999999999998</v>
      </c>
      <c r="N13" s="87">
        <f t="shared" si="1"/>
        <v>44016</v>
      </c>
      <c r="P13" s="122">
        <f t="shared" si="4"/>
        <v>8.0000000000000071E-2</v>
      </c>
    </row>
    <row r="14" spans="1:16" s="134" customFormat="1" x14ac:dyDescent="0.25">
      <c r="A14" s="129">
        <f t="shared" si="5"/>
        <v>44017</v>
      </c>
      <c r="B14" s="123">
        <f t="shared" si="2"/>
        <v>1.26</v>
      </c>
      <c r="C14" s="124">
        <f t="shared" si="6"/>
        <v>1.33</v>
      </c>
      <c r="D14" s="125">
        <f t="shared" si="7"/>
        <v>1.42</v>
      </c>
      <c r="E14" s="116">
        <v>1.44</v>
      </c>
      <c r="F14" s="117">
        <v>1.48</v>
      </c>
      <c r="G14" s="118">
        <v>1.55</v>
      </c>
      <c r="H14" s="126">
        <f t="shared" si="3"/>
        <v>1.52</v>
      </c>
      <c r="I14" s="126">
        <f t="shared" si="3"/>
        <v>1.51</v>
      </c>
      <c r="J14" s="126">
        <f t="shared" si="3"/>
        <v>1.56</v>
      </c>
      <c r="K14" s="130">
        <f t="shared" si="0"/>
        <v>1.406666666666667</v>
      </c>
      <c r="L14" s="131">
        <f t="shared" si="0"/>
        <v>1.4400000000000002</v>
      </c>
      <c r="M14" s="132">
        <f t="shared" si="0"/>
        <v>1.5099999999999998</v>
      </c>
      <c r="N14" s="133">
        <f t="shared" si="1"/>
        <v>44017</v>
      </c>
      <c r="P14" s="135">
        <f t="shared" si="4"/>
        <v>8.0000000000000071E-2</v>
      </c>
    </row>
    <row r="15" spans="1:16" s="134" customFormat="1" x14ac:dyDescent="0.25">
      <c r="A15" s="129">
        <f t="shared" si="5"/>
        <v>44018</v>
      </c>
      <c r="B15" s="123">
        <f t="shared" si="2"/>
        <v>1.26</v>
      </c>
      <c r="C15" s="124">
        <f t="shared" si="6"/>
        <v>1.33</v>
      </c>
      <c r="D15" s="125">
        <f t="shared" si="7"/>
        <v>1.42</v>
      </c>
      <c r="E15" s="116">
        <v>1.44</v>
      </c>
      <c r="F15" s="117">
        <v>1.48</v>
      </c>
      <c r="G15" s="118">
        <v>1.55</v>
      </c>
      <c r="H15" s="126">
        <f t="shared" si="3"/>
        <v>1.52</v>
      </c>
      <c r="I15" s="126">
        <f t="shared" si="3"/>
        <v>1.51</v>
      </c>
      <c r="J15" s="126">
        <f t="shared" si="3"/>
        <v>1.56</v>
      </c>
      <c r="K15" s="130">
        <f t="shared" si="0"/>
        <v>1.406666666666667</v>
      </c>
      <c r="L15" s="131">
        <f t="shared" si="0"/>
        <v>1.4400000000000002</v>
      </c>
      <c r="M15" s="132">
        <f t="shared" si="0"/>
        <v>1.5099999999999998</v>
      </c>
      <c r="N15" s="133">
        <f t="shared" si="1"/>
        <v>44018</v>
      </c>
      <c r="P15" s="122">
        <f t="shared" si="4"/>
        <v>8.0000000000000071E-2</v>
      </c>
    </row>
    <row r="16" spans="1:16" s="134" customFormat="1" ht="13" x14ac:dyDescent="0.3">
      <c r="A16" s="129">
        <f t="shared" si="5"/>
        <v>44019</v>
      </c>
      <c r="B16" s="123">
        <f t="shared" si="2"/>
        <v>1.26</v>
      </c>
      <c r="C16" s="124">
        <f t="shared" si="6"/>
        <v>1.33</v>
      </c>
      <c r="D16" s="125">
        <f t="shared" si="7"/>
        <v>1.42</v>
      </c>
      <c r="E16" s="116">
        <v>1.5649999999999999</v>
      </c>
      <c r="F16" s="117">
        <v>1.605</v>
      </c>
      <c r="G16" s="118">
        <v>1.67</v>
      </c>
      <c r="H16" s="128">
        <v>1.67</v>
      </c>
      <c r="I16" s="128">
        <v>1.72</v>
      </c>
      <c r="J16" s="128">
        <v>1.75</v>
      </c>
      <c r="K16" s="130">
        <f t="shared" si="0"/>
        <v>1.4983333333333333</v>
      </c>
      <c r="L16" s="131">
        <f t="shared" si="0"/>
        <v>1.5516666666666667</v>
      </c>
      <c r="M16" s="132">
        <f t="shared" si="0"/>
        <v>1.6133333333333333</v>
      </c>
      <c r="N16" s="136">
        <f t="shared" si="1"/>
        <v>44019</v>
      </c>
      <c r="P16" s="122">
        <f t="shared" si="4"/>
        <v>0.10499999999999998</v>
      </c>
    </row>
    <row r="17" spans="1:16" s="134" customFormat="1" x14ac:dyDescent="0.25">
      <c r="A17" s="129">
        <f t="shared" si="5"/>
        <v>44020</v>
      </c>
      <c r="B17" s="123">
        <f t="shared" si="2"/>
        <v>1.26</v>
      </c>
      <c r="C17" s="124">
        <f t="shared" si="6"/>
        <v>1.33</v>
      </c>
      <c r="D17" s="125">
        <f t="shared" si="7"/>
        <v>1.42</v>
      </c>
      <c r="E17" s="116">
        <v>1.7250000000000001</v>
      </c>
      <c r="F17" s="117">
        <v>1.7250000000000001</v>
      </c>
      <c r="G17" s="118">
        <v>1.7649999999999999</v>
      </c>
      <c r="H17" s="126">
        <f t="shared" ref="H17:J22" si="8">H16</f>
        <v>1.67</v>
      </c>
      <c r="I17" s="126">
        <f t="shared" si="8"/>
        <v>1.72</v>
      </c>
      <c r="J17" s="126">
        <f t="shared" si="8"/>
        <v>1.75</v>
      </c>
      <c r="K17" s="130">
        <f t="shared" si="0"/>
        <v>1.5516666666666667</v>
      </c>
      <c r="L17" s="131">
        <f t="shared" si="0"/>
        <v>1.5916666666666668</v>
      </c>
      <c r="M17" s="132">
        <f t="shared" si="0"/>
        <v>1.6449999999999998</v>
      </c>
      <c r="N17" s="133">
        <f t="shared" si="1"/>
        <v>44020</v>
      </c>
      <c r="P17" s="122">
        <f t="shared" si="4"/>
        <v>-5.500000000000016E-2</v>
      </c>
    </row>
    <row r="18" spans="1:16" s="134" customFormat="1" x14ac:dyDescent="0.25">
      <c r="A18" s="129">
        <f t="shared" si="5"/>
        <v>44021</v>
      </c>
      <c r="B18" s="123">
        <f t="shared" si="2"/>
        <v>1.26</v>
      </c>
      <c r="C18" s="124">
        <f t="shared" si="6"/>
        <v>1.33</v>
      </c>
      <c r="D18" s="125">
        <f t="shared" si="7"/>
        <v>1.42</v>
      </c>
      <c r="E18" s="116">
        <v>1.6950000000000001</v>
      </c>
      <c r="F18" s="117">
        <v>1.74</v>
      </c>
      <c r="G18" s="118">
        <v>1.7749999999999999</v>
      </c>
      <c r="H18" s="126">
        <f t="shared" si="8"/>
        <v>1.67</v>
      </c>
      <c r="I18" s="126">
        <f t="shared" si="8"/>
        <v>1.72</v>
      </c>
      <c r="J18" s="126">
        <f t="shared" si="8"/>
        <v>1.75</v>
      </c>
      <c r="K18" s="130">
        <f t="shared" si="0"/>
        <v>1.5416666666666667</v>
      </c>
      <c r="L18" s="131">
        <f t="shared" si="0"/>
        <v>1.5966666666666667</v>
      </c>
      <c r="M18" s="132">
        <f t="shared" si="0"/>
        <v>1.6483333333333334</v>
      </c>
      <c r="N18" s="133">
        <f t="shared" si="1"/>
        <v>44021</v>
      </c>
      <c r="P18" s="122">
        <f t="shared" si="4"/>
        <v>-2.5000000000000133E-2</v>
      </c>
    </row>
    <row r="19" spans="1:16" s="134" customFormat="1" ht="12" customHeight="1" x14ac:dyDescent="0.25">
      <c r="A19" s="129">
        <f t="shared" si="5"/>
        <v>44022</v>
      </c>
      <c r="B19" s="123">
        <f t="shared" si="2"/>
        <v>1.26</v>
      </c>
      <c r="C19" s="124">
        <f t="shared" si="6"/>
        <v>1.33</v>
      </c>
      <c r="D19" s="125">
        <f t="shared" si="7"/>
        <v>1.42</v>
      </c>
      <c r="E19" s="116">
        <v>1.67</v>
      </c>
      <c r="F19" s="117">
        <v>1.7549999999999999</v>
      </c>
      <c r="G19" s="118">
        <v>1.79</v>
      </c>
      <c r="H19" s="126">
        <f t="shared" si="8"/>
        <v>1.67</v>
      </c>
      <c r="I19" s="126">
        <f t="shared" si="8"/>
        <v>1.72</v>
      </c>
      <c r="J19" s="126">
        <f t="shared" si="8"/>
        <v>1.75</v>
      </c>
      <c r="K19" s="130">
        <f t="shared" si="0"/>
        <v>1.5333333333333332</v>
      </c>
      <c r="L19" s="131">
        <f t="shared" si="0"/>
        <v>1.6016666666666666</v>
      </c>
      <c r="M19" s="132">
        <f t="shared" si="0"/>
        <v>1.6533333333333333</v>
      </c>
      <c r="N19" s="133">
        <f t="shared" si="1"/>
        <v>44022</v>
      </c>
      <c r="P19" s="122">
        <f t="shared" si="4"/>
        <v>0</v>
      </c>
    </row>
    <row r="20" spans="1:16" s="134" customFormat="1" x14ac:dyDescent="0.25">
      <c r="A20" s="129">
        <f t="shared" si="5"/>
        <v>44023</v>
      </c>
      <c r="B20" s="123">
        <f t="shared" si="2"/>
        <v>1.26</v>
      </c>
      <c r="C20" s="124">
        <f t="shared" si="6"/>
        <v>1.33</v>
      </c>
      <c r="D20" s="125">
        <f t="shared" si="7"/>
        <v>1.42</v>
      </c>
      <c r="E20" s="116">
        <v>1.665</v>
      </c>
      <c r="F20" s="117">
        <v>1.71</v>
      </c>
      <c r="G20" s="118">
        <v>1.7549999999999999</v>
      </c>
      <c r="H20" s="126">
        <f t="shared" si="8"/>
        <v>1.67</v>
      </c>
      <c r="I20" s="126">
        <f t="shared" si="8"/>
        <v>1.72</v>
      </c>
      <c r="J20" s="126">
        <f t="shared" si="8"/>
        <v>1.75</v>
      </c>
      <c r="K20" s="130">
        <f t="shared" si="0"/>
        <v>1.5316666666666665</v>
      </c>
      <c r="L20" s="131">
        <f t="shared" si="0"/>
        <v>1.5866666666666667</v>
      </c>
      <c r="M20" s="132">
        <f t="shared" si="0"/>
        <v>1.6416666666666666</v>
      </c>
      <c r="N20" s="133">
        <f t="shared" si="1"/>
        <v>44023</v>
      </c>
      <c r="P20" s="135">
        <f>H20-E20</f>
        <v>4.9999999999998934E-3</v>
      </c>
    </row>
    <row r="21" spans="1:16" s="134" customFormat="1" x14ac:dyDescent="0.25">
      <c r="A21" s="129">
        <f t="shared" si="5"/>
        <v>44024</v>
      </c>
      <c r="B21" s="123">
        <f t="shared" si="2"/>
        <v>1.26</v>
      </c>
      <c r="C21" s="124">
        <f t="shared" si="6"/>
        <v>1.33</v>
      </c>
      <c r="D21" s="125">
        <f t="shared" si="7"/>
        <v>1.42</v>
      </c>
      <c r="E21" s="116">
        <v>1.665</v>
      </c>
      <c r="F21" s="117">
        <v>1.71</v>
      </c>
      <c r="G21" s="118">
        <v>1.7549999999999999</v>
      </c>
      <c r="H21" s="126">
        <f t="shared" si="8"/>
        <v>1.67</v>
      </c>
      <c r="I21" s="126">
        <f t="shared" si="8"/>
        <v>1.72</v>
      </c>
      <c r="J21" s="126">
        <f t="shared" si="8"/>
        <v>1.75</v>
      </c>
      <c r="K21" s="130">
        <f t="shared" si="0"/>
        <v>1.5316666666666665</v>
      </c>
      <c r="L21" s="131">
        <f t="shared" si="0"/>
        <v>1.5866666666666667</v>
      </c>
      <c r="M21" s="132">
        <f t="shared" si="0"/>
        <v>1.6416666666666666</v>
      </c>
      <c r="N21" s="133">
        <f t="shared" si="1"/>
        <v>44024</v>
      </c>
      <c r="P21" s="135">
        <f t="shared" si="4"/>
        <v>4.9999999999998934E-3</v>
      </c>
    </row>
    <row r="22" spans="1:16" s="134" customFormat="1" x14ac:dyDescent="0.25">
      <c r="A22" s="129">
        <f t="shared" si="5"/>
        <v>44025</v>
      </c>
      <c r="B22" s="123">
        <f t="shared" si="2"/>
        <v>1.26</v>
      </c>
      <c r="C22" s="124">
        <f t="shared" si="6"/>
        <v>1.33</v>
      </c>
      <c r="D22" s="125">
        <f t="shared" si="7"/>
        <v>1.42</v>
      </c>
      <c r="E22" s="116">
        <v>1.665</v>
      </c>
      <c r="F22" s="117">
        <v>1.71</v>
      </c>
      <c r="G22" s="118">
        <v>1.7549999999999999</v>
      </c>
      <c r="H22" s="126">
        <f t="shared" si="8"/>
        <v>1.67</v>
      </c>
      <c r="I22" s="126">
        <f t="shared" si="8"/>
        <v>1.72</v>
      </c>
      <c r="J22" s="126">
        <f t="shared" si="8"/>
        <v>1.75</v>
      </c>
      <c r="K22" s="130">
        <f t="shared" si="0"/>
        <v>1.5316666666666665</v>
      </c>
      <c r="L22" s="131">
        <f t="shared" si="0"/>
        <v>1.5866666666666667</v>
      </c>
      <c r="M22" s="132">
        <f t="shared" si="0"/>
        <v>1.6416666666666666</v>
      </c>
      <c r="N22" s="133">
        <f t="shared" si="1"/>
        <v>44025</v>
      </c>
      <c r="P22" s="122">
        <f t="shared" si="4"/>
        <v>4.9999999999998934E-3</v>
      </c>
    </row>
    <row r="23" spans="1:16" s="134" customFormat="1" ht="13" x14ac:dyDescent="0.3">
      <c r="A23" s="129">
        <f t="shared" si="5"/>
        <v>44026</v>
      </c>
      <c r="B23" s="123">
        <f t="shared" si="2"/>
        <v>1.26</v>
      </c>
      <c r="C23" s="124">
        <f t="shared" si="6"/>
        <v>1.33</v>
      </c>
      <c r="D23" s="125">
        <f t="shared" si="7"/>
        <v>1.42</v>
      </c>
      <c r="E23" s="116">
        <v>1.585</v>
      </c>
      <c r="F23" s="117">
        <v>1.66</v>
      </c>
      <c r="G23" s="118">
        <v>1.76</v>
      </c>
      <c r="H23" s="128">
        <v>1.55</v>
      </c>
      <c r="I23" s="128">
        <v>1.64</v>
      </c>
      <c r="J23" s="128">
        <v>1.72</v>
      </c>
      <c r="K23" s="130">
        <f t="shared" si="0"/>
        <v>1.4649999999999999</v>
      </c>
      <c r="L23" s="131">
        <f t="shared" si="0"/>
        <v>1.5433333333333332</v>
      </c>
      <c r="M23" s="132">
        <f t="shared" si="0"/>
        <v>1.6333333333333331</v>
      </c>
      <c r="N23" s="136">
        <f t="shared" si="1"/>
        <v>44026</v>
      </c>
      <c r="P23" s="122">
        <f t="shared" si="4"/>
        <v>-3.499999999999992E-2</v>
      </c>
    </row>
    <row r="24" spans="1:16" s="134" customFormat="1" x14ac:dyDescent="0.25">
      <c r="A24" s="129">
        <f t="shared" si="5"/>
        <v>44027</v>
      </c>
      <c r="B24" s="123">
        <f t="shared" si="2"/>
        <v>1.26</v>
      </c>
      <c r="C24" s="124">
        <f t="shared" si="6"/>
        <v>1.33</v>
      </c>
      <c r="D24" s="125">
        <f t="shared" si="7"/>
        <v>1.42</v>
      </c>
      <c r="E24" s="116">
        <v>1.5349999999999999</v>
      </c>
      <c r="F24" s="117">
        <v>1.615</v>
      </c>
      <c r="G24" s="118">
        <v>1.7150000000000001</v>
      </c>
      <c r="H24" s="126">
        <f t="shared" ref="H24:J29" si="9">H23</f>
        <v>1.55</v>
      </c>
      <c r="I24" s="126">
        <f t="shared" si="9"/>
        <v>1.64</v>
      </c>
      <c r="J24" s="126">
        <f t="shared" si="9"/>
        <v>1.72</v>
      </c>
      <c r="K24" s="130">
        <f>AVERAGE(B24,E24,H24)</f>
        <v>1.4483333333333333</v>
      </c>
      <c r="L24" s="131">
        <f t="shared" si="0"/>
        <v>1.5283333333333333</v>
      </c>
      <c r="M24" s="132">
        <f t="shared" si="0"/>
        <v>1.6183333333333332</v>
      </c>
      <c r="N24" s="133">
        <f t="shared" si="1"/>
        <v>44027</v>
      </c>
      <c r="P24" s="122">
        <f t="shared" si="4"/>
        <v>1.5000000000000124E-2</v>
      </c>
    </row>
    <row r="25" spans="1:16" s="134" customFormat="1" x14ac:dyDescent="0.25">
      <c r="A25" s="129">
        <f t="shared" si="5"/>
        <v>44028</v>
      </c>
      <c r="B25" s="123">
        <f t="shared" si="2"/>
        <v>1.26</v>
      </c>
      <c r="C25" s="124">
        <f t="shared" si="6"/>
        <v>1.33</v>
      </c>
      <c r="D25" s="125">
        <f t="shared" si="7"/>
        <v>1.42</v>
      </c>
      <c r="E25" s="116">
        <v>1.5449999999999999</v>
      </c>
      <c r="F25" s="117">
        <v>1.63</v>
      </c>
      <c r="G25" s="118">
        <v>1.7150000000000001</v>
      </c>
      <c r="H25" s="126">
        <f t="shared" si="9"/>
        <v>1.55</v>
      </c>
      <c r="I25" s="126">
        <f t="shared" si="9"/>
        <v>1.64</v>
      </c>
      <c r="J25" s="126">
        <f t="shared" si="9"/>
        <v>1.72</v>
      </c>
      <c r="K25" s="130">
        <f t="shared" si="0"/>
        <v>1.4516666666666664</v>
      </c>
      <c r="L25" s="131">
        <f t="shared" si="0"/>
        <v>1.5333333333333332</v>
      </c>
      <c r="M25" s="132">
        <f t="shared" si="0"/>
        <v>1.6183333333333332</v>
      </c>
      <c r="N25" s="133">
        <f t="shared" si="1"/>
        <v>44028</v>
      </c>
      <c r="P25" s="135">
        <f t="shared" si="4"/>
        <v>5.0000000000001155E-3</v>
      </c>
    </row>
    <row r="26" spans="1:16" s="134" customFormat="1" x14ac:dyDescent="0.25">
      <c r="A26" s="129">
        <f t="shared" si="5"/>
        <v>44029</v>
      </c>
      <c r="B26" s="123">
        <f t="shared" si="2"/>
        <v>1.26</v>
      </c>
      <c r="C26" s="124">
        <f t="shared" si="6"/>
        <v>1.33</v>
      </c>
      <c r="D26" s="125">
        <f t="shared" si="7"/>
        <v>1.42</v>
      </c>
      <c r="E26" s="116">
        <v>1.5549999999999999</v>
      </c>
      <c r="F26" s="117">
        <v>1.64</v>
      </c>
      <c r="G26" s="118">
        <v>1.7250000000000001</v>
      </c>
      <c r="H26" s="126">
        <f t="shared" si="9"/>
        <v>1.55</v>
      </c>
      <c r="I26" s="126">
        <f t="shared" si="9"/>
        <v>1.64</v>
      </c>
      <c r="J26" s="126">
        <f t="shared" si="9"/>
        <v>1.72</v>
      </c>
      <c r="K26" s="130">
        <f t="shared" si="0"/>
        <v>1.4550000000000001</v>
      </c>
      <c r="L26" s="131">
        <f t="shared" si="0"/>
        <v>1.5366666666666664</v>
      </c>
      <c r="M26" s="132">
        <f t="shared" si="0"/>
        <v>1.6216666666666668</v>
      </c>
      <c r="N26" s="133">
        <f t="shared" si="1"/>
        <v>44029</v>
      </c>
      <c r="P26" s="122">
        <f t="shared" si="4"/>
        <v>-4.9999999999998934E-3</v>
      </c>
    </row>
    <row r="27" spans="1:16" s="134" customFormat="1" x14ac:dyDescent="0.25">
      <c r="A27" s="129">
        <f t="shared" si="5"/>
        <v>44030</v>
      </c>
      <c r="B27" s="123">
        <f t="shared" si="2"/>
        <v>1.26</v>
      </c>
      <c r="C27" s="124">
        <f t="shared" si="6"/>
        <v>1.33</v>
      </c>
      <c r="D27" s="125">
        <f t="shared" si="7"/>
        <v>1.42</v>
      </c>
      <c r="E27" s="116">
        <v>1.54</v>
      </c>
      <c r="F27" s="117">
        <v>1.635</v>
      </c>
      <c r="G27" s="118">
        <v>1.7050000000000001</v>
      </c>
      <c r="H27" s="126">
        <f t="shared" si="9"/>
        <v>1.55</v>
      </c>
      <c r="I27" s="126">
        <f t="shared" si="9"/>
        <v>1.64</v>
      </c>
      <c r="J27" s="126">
        <f t="shared" si="9"/>
        <v>1.72</v>
      </c>
      <c r="K27" s="130">
        <f t="shared" si="0"/>
        <v>1.45</v>
      </c>
      <c r="L27" s="131">
        <f t="shared" si="0"/>
        <v>1.5349999999999999</v>
      </c>
      <c r="M27" s="132">
        <f t="shared" si="0"/>
        <v>1.615</v>
      </c>
      <c r="N27" s="133">
        <f t="shared" si="1"/>
        <v>44030</v>
      </c>
      <c r="P27" s="135">
        <f t="shared" si="4"/>
        <v>1.0000000000000009E-2</v>
      </c>
    </row>
    <row r="28" spans="1:16" s="134" customFormat="1" x14ac:dyDescent="0.25">
      <c r="A28" s="129">
        <f t="shared" si="5"/>
        <v>44031</v>
      </c>
      <c r="B28" s="123">
        <f t="shared" si="2"/>
        <v>1.26</v>
      </c>
      <c r="C28" s="124">
        <f t="shared" si="6"/>
        <v>1.33</v>
      </c>
      <c r="D28" s="125">
        <f t="shared" si="7"/>
        <v>1.42</v>
      </c>
      <c r="E28" s="116">
        <v>1.54</v>
      </c>
      <c r="F28" s="117">
        <v>1.635</v>
      </c>
      <c r="G28" s="118">
        <v>1.7050000000000001</v>
      </c>
      <c r="H28" s="126">
        <f t="shared" si="9"/>
        <v>1.55</v>
      </c>
      <c r="I28" s="126">
        <f t="shared" si="9"/>
        <v>1.64</v>
      </c>
      <c r="J28" s="126">
        <f t="shared" si="9"/>
        <v>1.72</v>
      </c>
      <c r="K28" s="130">
        <f t="shared" si="0"/>
        <v>1.45</v>
      </c>
      <c r="L28" s="131">
        <f t="shared" si="0"/>
        <v>1.5349999999999999</v>
      </c>
      <c r="M28" s="132">
        <f t="shared" si="0"/>
        <v>1.615</v>
      </c>
      <c r="N28" s="133">
        <f t="shared" si="1"/>
        <v>44031</v>
      </c>
      <c r="P28" s="135">
        <f t="shared" si="4"/>
        <v>1.0000000000000009E-2</v>
      </c>
    </row>
    <row r="29" spans="1:16" s="134" customFormat="1" x14ac:dyDescent="0.25">
      <c r="A29" s="129">
        <f t="shared" si="5"/>
        <v>44032</v>
      </c>
      <c r="B29" s="123">
        <f t="shared" si="2"/>
        <v>1.26</v>
      </c>
      <c r="C29" s="124">
        <f t="shared" si="6"/>
        <v>1.33</v>
      </c>
      <c r="D29" s="125">
        <f t="shared" si="7"/>
        <v>1.42</v>
      </c>
      <c r="E29" s="116">
        <v>1.54</v>
      </c>
      <c r="F29" s="117">
        <v>1.635</v>
      </c>
      <c r="G29" s="118">
        <v>1.7050000000000001</v>
      </c>
      <c r="H29" s="126">
        <f t="shared" si="9"/>
        <v>1.55</v>
      </c>
      <c r="I29" s="126">
        <f t="shared" si="9"/>
        <v>1.64</v>
      </c>
      <c r="J29" s="126">
        <f t="shared" si="9"/>
        <v>1.72</v>
      </c>
      <c r="K29" s="130">
        <f t="shared" si="0"/>
        <v>1.45</v>
      </c>
      <c r="L29" s="131">
        <f t="shared" si="0"/>
        <v>1.5349999999999999</v>
      </c>
      <c r="M29" s="132">
        <f t="shared" si="0"/>
        <v>1.615</v>
      </c>
      <c r="N29" s="133">
        <f t="shared" si="1"/>
        <v>44032</v>
      </c>
      <c r="P29" s="122">
        <f t="shared" si="4"/>
        <v>1.0000000000000009E-2</v>
      </c>
    </row>
    <row r="30" spans="1:16" s="134" customFormat="1" ht="13" x14ac:dyDescent="0.3">
      <c r="A30" s="129">
        <f t="shared" si="5"/>
        <v>44033</v>
      </c>
      <c r="B30" s="123">
        <f t="shared" si="2"/>
        <v>1.26</v>
      </c>
      <c r="C30" s="124">
        <f t="shared" si="6"/>
        <v>1.33</v>
      </c>
      <c r="D30" s="125">
        <f t="shared" si="7"/>
        <v>1.42</v>
      </c>
      <c r="E30" s="116">
        <v>1.4750000000000001</v>
      </c>
      <c r="F30" s="117">
        <v>1.53</v>
      </c>
      <c r="G30" s="118">
        <v>1.62</v>
      </c>
      <c r="H30" s="128">
        <v>1.5</v>
      </c>
      <c r="I30" s="128">
        <v>1.57</v>
      </c>
      <c r="J30" s="128">
        <v>1.71</v>
      </c>
      <c r="K30" s="130">
        <f t="shared" si="0"/>
        <v>1.4116666666666668</v>
      </c>
      <c r="L30" s="131">
        <f t="shared" si="0"/>
        <v>1.4766666666666668</v>
      </c>
      <c r="M30" s="132">
        <f t="shared" si="0"/>
        <v>1.5833333333333333</v>
      </c>
      <c r="N30" s="136">
        <f t="shared" si="1"/>
        <v>44033</v>
      </c>
      <c r="P30" s="122">
        <f t="shared" si="4"/>
        <v>2.4999999999999911E-2</v>
      </c>
    </row>
    <row r="31" spans="1:16" s="134" customFormat="1" x14ac:dyDescent="0.25">
      <c r="A31" s="129">
        <f t="shared" si="5"/>
        <v>44034</v>
      </c>
      <c r="B31" s="123">
        <f t="shared" si="2"/>
        <v>1.26</v>
      </c>
      <c r="C31" s="124">
        <f t="shared" si="6"/>
        <v>1.33</v>
      </c>
      <c r="D31" s="125">
        <f t="shared" si="7"/>
        <v>1.42</v>
      </c>
      <c r="E31" s="116">
        <v>1.5</v>
      </c>
      <c r="F31" s="117">
        <v>1.5549999999999999</v>
      </c>
      <c r="G31" s="118">
        <v>1.645</v>
      </c>
      <c r="H31" s="126">
        <f t="shared" ref="H31:J36" si="10">H30</f>
        <v>1.5</v>
      </c>
      <c r="I31" s="126">
        <f t="shared" si="10"/>
        <v>1.57</v>
      </c>
      <c r="J31" s="126">
        <f t="shared" si="10"/>
        <v>1.71</v>
      </c>
      <c r="K31" s="130">
        <f t="shared" si="0"/>
        <v>1.42</v>
      </c>
      <c r="L31" s="131">
        <f t="shared" si="0"/>
        <v>1.4850000000000001</v>
      </c>
      <c r="M31" s="132">
        <f t="shared" si="0"/>
        <v>1.5916666666666668</v>
      </c>
      <c r="N31" s="133">
        <f t="shared" si="1"/>
        <v>44034</v>
      </c>
      <c r="P31" s="122">
        <f t="shared" si="4"/>
        <v>0</v>
      </c>
    </row>
    <row r="32" spans="1:16" s="134" customFormat="1" x14ac:dyDescent="0.25">
      <c r="A32" s="129">
        <f t="shared" si="5"/>
        <v>44035</v>
      </c>
      <c r="B32" s="123">
        <f t="shared" si="2"/>
        <v>1.26</v>
      </c>
      <c r="C32" s="124">
        <f t="shared" si="6"/>
        <v>1.33</v>
      </c>
      <c r="D32" s="125">
        <f t="shared" si="7"/>
        <v>1.42</v>
      </c>
      <c r="E32" s="116">
        <v>1.46</v>
      </c>
      <c r="F32" s="117">
        <v>1.5449999999999999</v>
      </c>
      <c r="G32" s="118">
        <v>1.64</v>
      </c>
      <c r="H32" s="126">
        <f t="shared" si="10"/>
        <v>1.5</v>
      </c>
      <c r="I32" s="126">
        <f t="shared" si="10"/>
        <v>1.57</v>
      </c>
      <c r="J32" s="126">
        <f t="shared" si="10"/>
        <v>1.71</v>
      </c>
      <c r="K32" s="130">
        <f t="shared" si="0"/>
        <v>1.4066666666666665</v>
      </c>
      <c r="L32" s="131">
        <f t="shared" si="0"/>
        <v>1.4816666666666667</v>
      </c>
      <c r="M32" s="132">
        <f t="shared" si="0"/>
        <v>1.5899999999999999</v>
      </c>
      <c r="N32" s="133">
        <f t="shared" si="1"/>
        <v>44035</v>
      </c>
      <c r="P32" s="122">
        <f t="shared" si="4"/>
        <v>4.0000000000000036E-2</v>
      </c>
    </row>
    <row r="33" spans="1:16" s="134" customFormat="1" x14ac:dyDescent="0.25">
      <c r="A33" s="129">
        <f t="shared" si="5"/>
        <v>44036</v>
      </c>
      <c r="B33" s="123">
        <f t="shared" si="2"/>
        <v>1.26</v>
      </c>
      <c r="C33" s="124">
        <f t="shared" si="6"/>
        <v>1.33</v>
      </c>
      <c r="D33" s="125">
        <f t="shared" si="7"/>
        <v>1.42</v>
      </c>
      <c r="E33" s="116">
        <v>1.4750000000000001</v>
      </c>
      <c r="F33" s="117">
        <v>1.5549999999999999</v>
      </c>
      <c r="G33" s="118">
        <v>1.68</v>
      </c>
      <c r="H33" s="126">
        <f t="shared" si="10"/>
        <v>1.5</v>
      </c>
      <c r="I33" s="126">
        <f t="shared" si="10"/>
        <v>1.57</v>
      </c>
      <c r="J33" s="126">
        <f t="shared" si="10"/>
        <v>1.71</v>
      </c>
      <c r="K33" s="130">
        <f t="shared" si="0"/>
        <v>1.4116666666666668</v>
      </c>
      <c r="L33" s="131">
        <f t="shared" si="0"/>
        <v>1.4850000000000001</v>
      </c>
      <c r="M33" s="132">
        <f t="shared" si="0"/>
        <v>1.6033333333333333</v>
      </c>
      <c r="N33" s="133">
        <f t="shared" si="1"/>
        <v>44036</v>
      </c>
      <c r="P33" s="122">
        <f t="shared" si="4"/>
        <v>2.4999999999999911E-2</v>
      </c>
    </row>
    <row r="34" spans="1:16" s="134" customFormat="1" x14ac:dyDescent="0.25">
      <c r="A34" s="129">
        <f t="shared" si="5"/>
        <v>44037</v>
      </c>
      <c r="B34" s="123">
        <f t="shared" si="2"/>
        <v>1.26</v>
      </c>
      <c r="C34" s="124">
        <f t="shared" si="6"/>
        <v>1.33</v>
      </c>
      <c r="D34" s="125">
        <f t="shared" si="7"/>
        <v>1.42</v>
      </c>
      <c r="E34" s="116">
        <v>1.5349999999999999</v>
      </c>
      <c r="F34" s="117">
        <v>1.59</v>
      </c>
      <c r="G34" s="118">
        <v>1.7350000000000001</v>
      </c>
      <c r="H34" s="126">
        <f t="shared" si="10"/>
        <v>1.5</v>
      </c>
      <c r="I34" s="126">
        <f t="shared" si="10"/>
        <v>1.57</v>
      </c>
      <c r="J34" s="126">
        <f t="shared" si="10"/>
        <v>1.71</v>
      </c>
      <c r="K34" s="130">
        <f t="shared" si="0"/>
        <v>1.4316666666666666</v>
      </c>
      <c r="L34" s="131">
        <f t="shared" si="0"/>
        <v>1.4966666666666668</v>
      </c>
      <c r="M34" s="132">
        <f t="shared" si="0"/>
        <v>1.6216666666666668</v>
      </c>
      <c r="N34" s="133">
        <f t="shared" si="1"/>
        <v>44037</v>
      </c>
      <c r="P34" s="135">
        <f t="shared" si="4"/>
        <v>-3.499999999999992E-2</v>
      </c>
    </row>
    <row r="35" spans="1:16" s="134" customFormat="1" x14ac:dyDescent="0.25">
      <c r="A35" s="129">
        <f t="shared" si="5"/>
        <v>44038</v>
      </c>
      <c r="B35" s="123">
        <f t="shared" si="2"/>
        <v>1.26</v>
      </c>
      <c r="C35" s="124">
        <f t="shared" si="6"/>
        <v>1.33</v>
      </c>
      <c r="D35" s="125">
        <f t="shared" si="7"/>
        <v>1.42</v>
      </c>
      <c r="E35" s="116">
        <v>1.5349999999999999</v>
      </c>
      <c r="F35" s="117">
        <v>1.59</v>
      </c>
      <c r="G35" s="118">
        <v>1.7350000000000001</v>
      </c>
      <c r="H35" s="126">
        <f t="shared" si="10"/>
        <v>1.5</v>
      </c>
      <c r="I35" s="126">
        <f t="shared" si="10"/>
        <v>1.57</v>
      </c>
      <c r="J35" s="126">
        <f t="shared" si="10"/>
        <v>1.71</v>
      </c>
      <c r="K35" s="130">
        <f t="shared" si="0"/>
        <v>1.4316666666666666</v>
      </c>
      <c r="L35" s="131">
        <f t="shared" si="0"/>
        <v>1.4966666666666668</v>
      </c>
      <c r="M35" s="132">
        <f t="shared" si="0"/>
        <v>1.6216666666666668</v>
      </c>
      <c r="N35" s="133">
        <f t="shared" si="1"/>
        <v>44038</v>
      </c>
      <c r="P35" s="135">
        <f t="shared" si="4"/>
        <v>-3.499999999999992E-2</v>
      </c>
    </row>
    <row r="36" spans="1:16" x14ac:dyDescent="0.25">
      <c r="A36" s="87">
        <f t="shared" si="5"/>
        <v>44039</v>
      </c>
      <c r="B36" s="123">
        <f t="shared" si="2"/>
        <v>1.26</v>
      </c>
      <c r="C36" s="124">
        <f t="shared" si="6"/>
        <v>1.33</v>
      </c>
      <c r="D36" s="125">
        <f t="shared" si="7"/>
        <v>1.42</v>
      </c>
      <c r="E36" s="116">
        <v>1.5349999999999999</v>
      </c>
      <c r="F36" s="117">
        <v>1.59</v>
      </c>
      <c r="G36" s="118">
        <v>1.7350000000000001</v>
      </c>
      <c r="H36" s="126">
        <f t="shared" si="10"/>
        <v>1.5</v>
      </c>
      <c r="I36" s="126">
        <f t="shared" si="10"/>
        <v>1.57</v>
      </c>
      <c r="J36" s="126">
        <f t="shared" si="10"/>
        <v>1.71</v>
      </c>
      <c r="K36" s="130">
        <f t="shared" si="0"/>
        <v>1.4316666666666666</v>
      </c>
      <c r="L36" s="120">
        <f t="shared" si="0"/>
        <v>1.4966666666666668</v>
      </c>
      <c r="M36" s="121">
        <f t="shared" si="0"/>
        <v>1.6216666666666668</v>
      </c>
      <c r="N36" s="133">
        <f t="shared" si="1"/>
        <v>44039</v>
      </c>
      <c r="P36" s="122">
        <f>H36-E36</f>
        <v>-3.499999999999992E-2</v>
      </c>
    </row>
    <row r="37" spans="1:16" ht="13" x14ac:dyDescent="0.3">
      <c r="A37" s="87">
        <f t="shared" si="5"/>
        <v>44040</v>
      </c>
      <c r="B37" s="123">
        <f t="shared" si="2"/>
        <v>1.26</v>
      </c>
      <c r="C37" s="124">
        <f t="shared" si="6"/>
        <v>1.33</v>
      </c>
      <c r="D37" s="125">
        <f t="shared" si="7"/>
        <v>1.42</v>
      </c>
      <c r="E37" s="116">
        <v>1.59</v>
      </c>
      <c r="F37" s="117">
        <v>1.625</v>
      </c>
      <c r="G37" s="118">
        <v>1.71</v>
      </c>
      <c r="H37" s="128">
        <v>1.55</v>
      </c>
      <c r="I37" s="128">
        <v>1.59</v>
      </c>
      <c r="J37" s="128">
        <v>1.74</v>
      </c>
      <c r="K37" s="130">
        <f t="shared" si="0"/>
        <v>1.4666666666666668</v>
      </c>
      <c r="L37" s="120">
        <f t="shared" si="0"/>
        <v>1.5149999999999999</v>
      </c>
      <c r="M37" s="121">
        <f t="shared" si="0"/>
        <v>1.6233333333333333</v>
      </c>
      <c r="N37" s="136">
        <f t="shared" si="1"/>
        <v>44040</v>
      </c>
      <c r="P37" s="122">
        <f t="shared" si="4"/>
        <v>-4.0000000000000036E-2</v>
      </c>
    </row>
    <row r="38" spans="1:16" s="134" customFormat="1" x14ac:dyDescent="0.25">
      <c r="A38" s="129">
        <f t="shared" si="5"/>
        <v>44041</v>
      </c>
      <c r="B38" s="123">
        <f t="shared" si="2"/>
        <v>1.26</v>
      </c>
      <c r="C38" s="124">
        <f t="shared" si="6"/>
        <v>1.33</v>
      </c>
      <c r="D38" s="125">
        <f t="shared" si="7"/>
        <v>1.42</v>
      </c>
      <c r="E38" s="116">
        <v>1.57</v>
      </c>
      <c r="F38" s="117">
        <v>1.625</v>
      </c>
      <c r="G38" s="118">
        <v>1.7450000000000001</v>
      </c>
      <c r="H38" s="126">
        <f t="shared" ref="H38:J40" si="11">H37</f>
        <v>1.55</v>
      </c>
      <c r="I38" s="126">
        <f t="shared" si="11"/>
        <v>1.59</v>
      </c>
      <c r="J38" s="126">
        <f t="shared" si="11"/>
        <v>1.74</v>
      </c>
      <c r="K38" s="130">
        <f t="shared" ref="K38:M40" si="12">AVERAGE(B38,E38,H38)</f>
        <v>1.46</v>
      </c>
      <c r="L38" s="131">
        <f t="shared" si="12"/>
        <v>1.5149999999999999</v>
      </c>
      <c r="M38" s="132">
        <f t="shared" si="12"/>
        <v>1.635</v>
      </c>
      <c r="N38" s="133">
        <f t="shared" si="1"/>
        <v>44041</v>
      </c>
      <c r="P38" s="135">
        <f t="shared" si="4"/>
        <v>-2.0000000000000018E-2</v>
      </c>
    </row>
    <row r="39" spans="1:16" ht="13" x14ac:dyDescent="0.3">
      <c r="A39" s="87">
        <f t="shared" si="5"/>
        <v>44042</v>
      </c>
      <c r="B39" s="123">
        <f t="shared" si="2"/>
        <v>1.26</v>
      </c>
      <c r="C39" s="124">
        <f t="shared" si="6"/>
        <v>1.33</v>
      </c>
      <c r="D39" s="125">
        <f t="shared" si="7"/>
        <v>1.42</v>
      </c>
      <c r="E39" s="116">
        <v>1.605</v>
      </c>
      <c r="F39" s="117">
        <v>1.6850000000000001</v>
      </c>
      <c r="G39" s="118">
        <v>1.76</v>
      </c>
      <c r="H39" s="126">
        <f t="shared" si="11"/>
        <v>1.55</v>
      </c>
      <c r="I39" s="126">
        <f t="shared" si="11"/>
        <v>1.59</v>
      </c>
      <c r="J39" s="126">
        <f t="shared" si="11"/>
        <v>1.74</v>
      </c>
      <c r="K39" s="130">
        <f t="shared" si="12"/>
        <v>1.4716666666666667</v>
      </c>
      <c r="L39" s="120">
        <f t="shared" si="12"/>
        <v>1.5350000000000001</v>
      </c>
      <c r="M39" s="121">
        <f t="shared" si="12"/>
        <v>1.64</v>
      </c>
      <c r="N39" s="136">
        <f t="shared" si="1"/>
        <v>44042</v>
      </c>
      <c r="P39" s="122">
        <f t="shared" si="4"/>
        <v>-5.4999999999999938E-2</v>
      </c>
    </row>
    <row r="40" spans="1:16" ht="13" x14ac:dyDescent="0.3">
      <c r="A40" s="87">
        <f t="shared" si="5"/>
        <v>44043</v>
      </c>
      <c r="B40" s="123">
        <f t="shared" si="2"/>
        <v>1.26</v>
      </c>
      <c r="C40" s="124">
        <f t="shared" si="6"/>
        <v>1.33</v>
      </c>
      <c r="D40" s="125">
        <f t="shared" si="7"/>
        <v>1.42</v>
      </c>
      <c r="E40" s="116">
        <v>1.56</v>
      </c>
      <c r="F40" s="117">
        <v>1.65</v>
      </c>
      <c r="G40" s="118">
        <v>1.7649999999999999</v>
      </c>
      <c r="H40" s="126">
        <f t="shared" si="11"/>
        <v>1.55</v>
      </c>
      <c r="I40" s="126">
        <f t="shared" si="11"/>
        <v>1.59</v>
      </c>
      <c r="J40" s="126">
        <f t="shared" si="11"/>
        <v>1.74</v>
      </c>
      <c r="K40" s="130">
        <f t="shared" si="12"/>
        <v>1.4566666666666668</v>
      </c>
      <c r="L40" s="120">
        <f t="shared" si="12"/>
        <v>1.5233333333333334</v>
      </c>
      <c r="M40" s="121">
        <f t="shared" si="12"/>
        <v>1.6416666666666666</v>
      </c>
      <c r="N40" s="136">
        <f t="shared" si="1"/>
        <v>44043</v>
      </c>
      <c r="P40" s="122">
        <f t="shared" si="4"/>
        <v>-1.0000000000000009E-2</v>
      </c>
    </row>
    <row r="41" spans="1:16" x14ac:dyDescent="0.25">
      <c r="B41" s="123"/>
      <c r="C41" s="124"/>
      <c r="D41" s="125"/>
      <c r="E41" s="137"/>
      <c r="F41" s="138"/>
      <c r="G41" s="139"/>
      <c r="H41" s="137"/>
      <c r="I41" s="138"/>
      <c r="J41" s="139"/>
      <c r="K41" s="119"/>
      <c r="L41" s="120"/>
      <c r="M41" s="121"/>
    </row>
    <row r="42" spans="1:16" s="134" customFormat="1" ht="13" x14ac:dyDescent="0.3">
      <c r="A42" s="140" t="s">
        <v>90</v>
      </c>
      <c r="B42" s="141">
        <f t="shared" ref="B42:M42" si="13">AVERAGE(B10:B40)</f>
        <v>1.2600000000000002</v>
      </c>
      <c r="C42" s="141">
        <f t="shared" si="13"/>
        <v>1.329999999999999</v>
      </c>
      <c r="D42" s="141">
        <f t="shared" si="13"/>
        <v>1.420000000000001</v>
      </c>
      <c r="E42" s="141">
        <f t="shared" si="13"/>
        <v>1.5493548387096772</v>
      </c>
      <c r="F42" s="141">
        <f t="shared" si="13"/>
        <v>1.6091935483870974</v>
      </c>
      <c r="G42" s="141">
        <f t="shared" si="13"/>
        <v>1.6920967741935482</v>
      </c>
      <c r="H42" s="141">
        <f t="shared" si="13"/>
        <v>1.56</v>
      </c>
      <c r="I42" s="141">
        <f t="shared" si="13"/>
        <v>1.6106451612903232</v>
      </c>
      <c r="J42" s="141">
        <f t="shared" si="13"/>
        <v>1.6961290322580647</v>
      </c>
      <c r="K42" s="141">
        <f t="shared" si="13"/>
        <v>1.4564516129032254</v>
      </c>
      <c r="L42" s="141">
        <f t="shared" si="13"/>
        <v>1.5166129032258067</v>
      </c>
      <c r="M42" s="141">
        <f t="shared" si="13"/>
        <v>1.602741935483871</v>
      </c>
      <c r="N42" s="142"/>
    </row>
    <row r="43" spans="1:16" x14ac:dyDescent="0.25">
      <c r="B43" s="143"/>
      <c r="C43" s="143"/>
      <c r="D43" s="143"/>
      <c r="E43" s="143"/>
      <c r="F43" s="143"/>
      <c r="G43" s="143"/>
      <c r="H43" s="143"/>
      <c r="I43" s="143"/>
      <c r="J43" s="143"/>
      <c r="K43" s="144"/>
      <c r="L43" s="145"/>
    </row>
    <row r="44" spans="1:16" x14ac:dyDescent="0.25">
      <c r="B44" s="143"/>
      <c r="C44" s="143"/>
      <c r="D44" s="143"/>
      <c r="E44" s="143"/>
      <c r="F44" s="143"/>
      <c r="G44" s="176"/>
      <c r="H44" s="177"/>
      <c r="I44" s="176"/>
      <c r="J44" s="143"/>
      <c r="K44" s="144"/>
      <c r="L44" s="145"/>
    </row>
    <row r="45" spans="1:16" x14ac:dyDescent="0.25">
      <c r="B45" s="143"/>
      <c r="C45" s="143"/>
      <c r="D45" s="143"/>
      <c r="E45" s="143"/>
      <c r="F45" s="143"/>
      <c r="G45" s="143"/>
      <c r="H45" s="143"/>
      <c r="I45" s="143"/>
      <c r="J45" s="143"/>
      <c r="K45" s="144"/>
      <c r="L45" s="145"/>
    </row>
    <row r="46" spans="1:16" x14ac:dyDescent="0.25">
      <c r="B46" s="143"/>
      <c r="C46" s="143"/>
      <c r="D46" s="143"/>
      <c r="E46" s="143"/>
      <c r="F46" s="143"/>
      <c r="G46" s="143"/>
      <c r="H46" s="143"/>
      <c r="I46" s="143"/>
      <c r="J46" s="143"/>
      <c r="K46" s="144"/>
      <c r="L46" s="145"/>
    </row>
    <row r="47" spans="1:16" x14ac:dyDescent="0.25">
      <c r="B47" s="143"/>
      <c r="C47" s="143"/>
      <c r="D47" s="143"/>
      <c r="E47" s="143"/>
      <c r="F47" s="143"/>
      <c r="G47" s="143"/>
      <c r="H47" s="143"/>
      <c r="I47" s="143"/>
      <c r="J47" s="143"/>
      <c r="K47" s="144"/>
      <c r="L47" s="145"/>
    </row>
    <row r="48" spans="1:16" ht="13" x14ac:dyDescent="0.3">
      <c r="A48" s="147" t="s">
        <v>91</v>
      </c>
      <c r="B48" s="148"/>
      <c r="C48" s="148"/>
      <c r="D48" s="148"/>
      <c r="E48" s="148"/>
      <c r="F48" s="148"/>
      <c r="G48" s="148"/>
      <c r="H48" s="148"/>
      <c r="I48" s="148"/>
      <c r="J48" s="149"/>
      <c r="K48" s="144"/>
      <c r="L48" s="145"/>
    </row>
    <row r="49" spans="1:17" x14ac:dyDescent="0.25">
      <c r="A49" s="150"/>
      <c r="B49" s="120"/>
      <c r="C49" s="120"/>
      <c r="D49" s="120"/>
      <c r="E49" s="120"/>
      <c r="F49" s="120"/>
      <c r="G49" s="120"/>
      <c r="H49" s="120"/>
      <c r="I49" s="120"/>
      <c r="J49" s="151"/>
      <c r="K49" s="144"/>
      <c r="L49" s="145"/>
    </row>
    <row r="50" spans="1:17" ht="14" x14ac:dyDescent="0.3">
      <c r="A50" s="152"/>
      <c r="B50" s="153"/>
      <c r="C50" s="153"/>
      <c r="D50" s="153"/>
      <c r="E50" s="154" t="s">
        <v>92</v>
      </c>
      <c r="F50" s="154" t="s">
        <v>92</v>
      </c>
      <c r="G50" s="154" t="s">
        <v>93</v>
      </c>
      <c r="H50" s="153"/>
      <c r="I50" s="153"/>
      <c r="J50" s="155"/>
      <c r="L50" s="145"/>
      <c r="M50" s="156"/>
    </row>
    <row r="51" spans="1:17" ht="15" customHeight="1" x14ac:dyDescent="0.3">
      <c r="A51" s="152"/>
      <c r="B51" s="157" t="s">
        <v>42</v>
      </c>
      <c r="C51" s="157" t="s">
        <v>94</v>
      </c>
      <c r="D51" s="153"/>
      <c r="E51" s="157" t="s">
        <v>95</v>
      </c>
      <c r="F51" s="157" t="s">
        <v>96</v>
      </c>
      <c r="G51" s="157" t="s">
        <v>96</v>
      </c>
      <c r="H51" s="205" t="s">
        <v>97</v>
      </c>
      <c r="I51" s="205"/>
      <c r="J51" s="155"/>
      <c r="K51" s="158"/>
      <c r="L51" s="159"/>
      <c r="M51" s="156"/>
    </row>
    <row r="52" spans="1:17" ht="15" customHeight="1" x14ac:dyDescent="0.3">
      <c r="A52" s="152"/>
      <c r="B52" s="153" t="s">
        <v>55</v>
      </c>
      <c r="C52" s="153" t="s">
        <v>98</v>
      </c>
      <c r="D52" s="153"/>
      <c r="E52" s="160">
        <f>1729400-77500-14100</f>
        <v>1637800</v>
      </c>
      <c r="F52" s="161">
        <f>2465137.75-28644-107337.5</f>
        <v>2329156.25</v>
      </c>
      <c r="G52" s="162">
        <f>E52*$K$42</f>
        <v>2385376.4516129028</v>
      </c>
      <c r="H52" s="153"/>
      <c r="I52" s="163">
        <f>G52-F52</f>
        <v>56220.201612902805</v>
      </c>
      <c r="J52" s="155"/>
      <c r="L52" s="145"/>
      <c r="M52" s="156"/>
    </row>
    <row r="53" spans="1:17" ht="14" x14ac:dyDescent="0.3">
      <c r="A53" s="152"/>
      <c r="B53" s="153" t="s">
        <v>62</v>
      </c>
      <c r="C53" s="153" t="s">
        <v>99</v>
      </c>
      <c r="D53" s="153"/>
      <c r="E53" s="160">
        <v>0</v>
      </c>
      <c r="F53" s="161">
        <v>0</v>
      </c>
      <c r="G53" s="162">
        <f>E53*$L$42</f>
        <v>0</v>
      </c>
      <c r="H53" s="153"/>
      <c r="I53" s="163">
        <f t="shared" ref="I53:I54" si="14">G53-F53</f>
        <v>0</v>
      </c>
      <c r="J53" s="155"/>
      <c r="L53" s="145"/>
      <c r="M53" s="156"/>
    </row>
    <row r="54" spans="1:17" s="81" customFormat="1" ht="14" x14ac:dyDescent="0.3">
      <c r="A54" s="152"/>
      <c r="B54" s="153" t="s">
        <v>100</v>
      </c>
      <c r="C54" s="153">
        <v>500</v>
      </c>
      <c r="D54" s="153"/>
      <c r="E54" s="160">
        <v>0</v>
      </c>
      <c r="F54" s="161">
        <v>0</v>
      </c>
      <c r="G54" s="162">
        <f>E54*$M$42</f>
        <v>0</v>
      </c>
      <c r="H54" s="153"/>
      <c r="I54" s="163">
        <f t="shared" si="14"/>
        <v>0</v>
      </c>
      <c r="J54" s="155"/>
      <c r="L54" s="145"/>
      <c r="M54" s="156"/>
      <c r="O54" s="82"/>
      <c r="P54" s="82"/>
      <c r="Q54" s="82"/>
    </row>
    <row r="55" spans="1:17" s="81" customFormat="1" ht="14.5" thickBot="1" x14ac:dyDescent="0.35">
      <c r="A55" s="152"/>
      <c r="B55" s="153"/>
      <c r="C55" s="153"/>
      <c r="D55" s="153"/>
      <c r="E55" s="160"/>
      <c r="F55" s="161"/>
      <c r="G55" s="153"/>
      <c r="H55" s="153"/>
      <c r="I55" s="153"/>
      <c r="J55" s="155"/>
      <c r="L55" s="145"/>
      <c r="M55" s="156"/>
      <c r="O55" s="82"/>
      <c r="P55" s="82"/>
      <c r="Q55" s="82"/>
    </row>
    <row r="56" spans="1:17" s="81" customFormat="1" ht="14.5" thickBot="1" x14ac:dyDescent="0.35">
      <c r="A56" s="152"/>
      <c r="B56" s="153"/>
      <c r="C56" s="153"/>
      <c r="D56" s="153"/>
      <c r="E56" s="160"/>
      <c r="F56" s="161"/>
      <c r="G56" s="153"/>
      <c r="H56" s="164"/>
      <c r="I56" s="165">
        <f>SUM(I52:I55)</f>
        <v>56220.201612902805</v>
      </c>
      <c r="J56" s="155"/>
      <c r="L56" s="145"/>
      <c r="M56" s="156"/>
      <c r="O56" s="82"/>
      <c r="P56" s="82"/>
      <c r="Q56" s="82"/>
    </row>
    <row r="57" spans="1:17" s="81" customFormat="1" ht="14" x14ac:dyDescent="0.3">
      <c r="A57" s="166"/>
      <c r="B57" s="167"/>
      <c r="C57" s="167"/>
      <c r="D57" s="167"/>
      <c r="E57" s="168"/>
      <c r="F57" s="167"/>
      <c r="G57" s="167"/>
      <c r="H57" s="167"/>
      <c r="I57" s="167"/>
      <c r="J57" s="169"/>
      <c r="L57" s="145"/>
      <c r="M57" s="156"/>
      <c r="O57" s="82"/>
      <c r="P57" s="82"/>
      <c r="Q57" s="82"/>
    </row>
    <row r="58" spans="1:17" s="81" customFormat="1" ht="14" x14ac:dyDescent="0.3">
      <c r="A58" s="87"/>
      <c r="L58" s="145"/>
      <c r="M58" s="156"/>
      <c r="O58" s="82"/>
      <c r="P58" s="82"/>
      <c r="Q58" s="82"/>
    </row>
    <row r="59" spans="1:17" s="81" customFormat="1" ht="14" x14ac:dyDescent="0.3">
      <c r="A59" s="170"/>
      <c r="L59" s="145"/>
      <c r="M59" s="156"/>
      <c r="O59" s="82"/>
      <c r="P59" s="82"/>
      <c r="Q59" s="82"/>
    </row>
    <row r="60" spans="1:17" s="81" customFormat="1" ht="14" x14ac:dyDescent="0.3">
      <c r="A60" s="87"/>
      <c r="L60" s="145"/>
      <c r="M60" s="156"/>
      <c r="O60" s="82"/>
      <c r="P60" s="82"/>
      <c r="Q60" s="82"/>
    </row>
    <row r="61" spans="1:17" s="81" customFormat="1" x14ac:dyDescent="0.25">
      <c r="A61" s="87"/>
      <c r="B61" s="143"/>
      <c r="C61" s="143"/>
      <c r="D61" s="143"/>
      <c r="E61" s="143"/>
      <c r="F61" s="143"/>
      <c r="G61" s="143"/>
      <c r="H61" s="143"/>
      <c r="I61" s="143"/>
      <c r="J61" s="143"/>
      <c r="K61" s="144"/>
      <c r="L61" s="145"/>
      <c r="O61" s="82"/>
      <c r="P61" s="82"/>
      <c r="Q61" s="82"/>
    </row>
    <row r="62" spans="1:17" s="81" customFormat="1" ht="13" x14ac:dyDescent="0.3">
      <c r="A62" s="147" t="s">
        <v>101</v>
      </c>
      <c r="B62" s="148"/>
      <c r="C62" s="148"/>
      <c r="D62" s="148"/>
      <c r="E62" s="148"/>
      <c r="F62" s="148"/>
      <c r="G62" s="148"/>
      <c r="H62" s="148"/>
      <c r="I62" s="148"/>
      <c r="J62" s="149"/>
      <c r="K62" s="144"/>
      <c r="L62" s="145"/>
      <c r="O62" s="82"/>
      <c r="P62" s="82"/>
      <c r="Q62" s="82"/>
    </row>
    <row r="63" spans="1:17" s="81" customFormat="1" x14ac:dyDescent="0.25">
      <c r="A63" s="150"/>
      <c r="B63" s="120"/>
      <c r="C63" s="120"/>
      <c r="D63" s="120"/>
      <c r="E63" s="120"/>
      <c r="F63" s="120"/>
      <c r="G63" s="120"/>
      <c r="H63" s="120"/>
      <c r="I63" s="120"/>
      <c r="J63" s="151"/>
      <c r="K63" s="144"/>
      <c r="L63" s="145"/>
      <c r="O63" s="82"/>
      <c r="P63" s="82"/>
      <c r="Q63" s="82"/>
    </row>
    <row r="64" spans="1:17" s="81" customFormat="1" ht="13" x14ac:dyDescent="0.3">
      <c r="A64" s="152"/>
      <c r="B64" s="153"/>
      <c r="C64" s="153"/>
      <c r="D64" s="153"/>
      <c r="E64" s="154" t="s">
        <v>92</v>
      </c>
      <c r="F64" s="154" t="s">
        <v>92</v>
      </c>
      <c r="G64" s="154" t="s">
        <v>93</v>
      </c>
      <c r="H64" s="153"/>
      <c r="I64" s="153"/>
      <c r="J64" s="155"/>
      <c r="L64" s="145"/>
      <c r="M64" s="171"/>
      <c r="O64" s="82"/>
      <c r="P64" s="82"/>
      <c r="Q64" s="82"/>
    </row>
    <row r="65" spans="1:17" s="81" customFormat="1" ht="13" x14ac:dyDescent="0.3">
      <c r="A65" s="152"/>
      <c r="B65" s="157" t="s">
        <v>42</v>
      </c>
      <c r="C65" s="157" t="s">
        <v>94</v>
      </c>
      <c r="D65" s="153"/>
      <c r="E65" s="157" t="s">
        <v>95</v>
      </c>
      <c r="F65" s="157" t="s">
        <v>96</v>
      </c>
      <c r="G65" s="157" t="s">
        <v>96</v>
      </c>
      <c r="H65" s="205" t="s">
        <v>97</v>
      </c>
      <c r="I65" s="205"/>
      <c r="J65" s="155"/>
      <c r="L65" s="145"/>
      <c r="O65" s="82"/>
      <c r="P65" s="82"/>
      <c r="Q65" s="82"/>
    </row>
    <row r="66" spans="1:17" x14ac:dyDescent="0.25">
      <c r="A66" s="152"/>
      <c r="B66" s="153" t="s">
        <v>55</v>
      </c>
      <c r="C66" s="153" t="s">
        <v>98</v>
      </c>
      <c r="D66" s="153"/>
      <c r="E66" s="160">
        <f>1729400-77500</f>
        <v>1651900</v>
      </c>
      <c r="F66" s="161">
        <f>2465137.75-107337.5</f>
        <v>2357800.25</v>
      </c>
      <c r="G66" s="162">
        <f>E66*$K$42</f>
        <v>2405912.4193548383</v>
      </c>
      <c r="H66" s="153"/>
      <c r="I66" s="163">
        <f>G66-F66</f>
        <v>48112.169354838319</v>
      </c>
      <c r="J66" s="155"/>
    </row>
    <row r="67" spans="1:17" s="81" customFormat="1" x14ac:dyDescent="0.25">
      <c r="A67" s="152"/>
      <c r="B67" s="153" t="s">
        <v>62</v>
      </c>
      <c r="C67" s="153" t="s">
        <v>99</v>
      </c>
      <c r="D67" s="153"/>
      <c r="E67" s="160">
        <v>0</v>
      </c>
      <c r="F67" s="161">
        <v>0</v>
      </c>
      <c r="G67" s="162">
        <f>E67*$L$42</f>
        <v>0</v>
      </c>
      <c r="H67" s="153"/>
      <c r="I67" s="163">
        <f t="shared" ref="I67:I68" si="15">G67-F67</f>
        <v>0</v>
      </c>
      <c r="J67" s="155"/>
      <c r="K67" s="144"/>
      <c r="L67" s="145"/>
      <c r="O67" s="82"/>
      <c r="P67" s="82"/>
      <c r="Q67" s="82"/>
    </row>
    <row r="68" spans="1:17" s="81" customFormat="1" x14ac:dyDescent="0.25">
      <c r="A68" s="152"/>
      <c r="B68" s="153" t="s">
        <v>100</v>
      </c>
      <c r="C68" s="153">
        <v>500</v>
      </c>
      <c r="D68" s="153"/>
      <c r="E68" s="160">
        <v>0</v>
      </c>
      <c r="F68" s="161">
        <v>0</v>
      </c>
      <c r="G68" s="162">
        <f>E68*$M$42</f>
        <v>0</v>
      </c>
      <c r="H68" s="153"/>
      <c r="I68" s="163">
        <f t="shared" si="15"/>
        <v>0</v>
      </c>
      <c r="J68" s="155"/>
      <c r="K68" s="144"/>
      <c r="L68" s="145"/>
      <c r="O68" s="82"/>
      <c r="P68" s="82"/>
      <c r="Q68" s="82"/>
    </row>
    <row r="69" spans="1:17" s="81" customFormat="1" ht="13" thickBot="1" x14ac:dyDescent="0.3">
      <c r="A69" s="152"/>
      <c r="B69" s="153"/>
      <c r="C69" s="153"/>
      <c r="D69" s="153"/>
      <c r="E69" s="160"/>
      <c r="F69" s="161"/>
      <c r="G69" s="153"/>
      <c r="H69" s="153"/>
      <c r="I69" s="153"/>
      <c r="J69" s="155"/>
      <c r="K69" s="144"/>
      <c r="L69" s="145"/>
      <c r="O69" s="82"/>
      <c r="P69" s="82"/>
      <c r="Q69" s="82"/>
    </row>
    <row r="70" spans="1:17" s="81" customFormat="1" ht="13" thickBot="1" x14ac:dyDescent="0.3">
      <c r="A70" s="152"/>
      <c r="B70" s="153"/>
      <c r="C70" s="153"/>
      <c r="D70" s="153"/>
      <c r="E70" s="160"/>
      <c r="F70" s="161"/>
      <c r="G70" s="153"/>
      <c r="H70" s="164"/>
      <c r="I70" s="165">
        <f>SUM(I66:I69)</f>
        <v>48112.169354838319</v>
      </c>
      <c r="J70" s="155"/>
      <c r="L70" s="145"/>
      <c r="M70" s="171"/>
      <c r="O70" s="82"/>
      <c r="P70" s="82"/>
      <c r="Q70" s="82"/>
    </row>
    <row r="71" spans="1:17" s="81" customFormat="1" x14ac:dyDescent="0.25">
      <c r="A71" s="166"/>
      <c r="B71" s="167"/>
      <c r="C71" s="167"/>
      <c r="D71" s="167"/>
      <c r="E71" s="168"/>
      <c r="F71" s="167"/>
      <c r="G71" s="167"/>
      <c r="H71" s="167"/>
      <c r="I71" s="167"/>
      <c r="J71" s="169"/>
      <c r="L71" s="145"/>
      <c r="O71" s="82"/>
      <c r="P71" s="82"/>
      <c r="Q71" s="82"/>
    </row>
    <row r="72" spans="1:17" s="81" customFormat="1" x14ac:dyDescent="0.25">
      <c r="A72" s="87"/>
      <c r="L72" s="145"/>
      <c r="O72" s="82"/>
      <c r="P72" s="82"/>
      <c r="Q72" s="82"/>
    </row>
    <row r="73" spans="1:17" ht="13" x14ac:dyDescent="0.3">
      <c r="A73" s="170"/>
    </row>
    <row r="74" spans="1:17" s="81" customFormat="1" x14ac:dyDescent="0.25">
      <c r="A74" s="87"/>
      <c r="L74" s="145"/>
      <c r="M74" s="171"/>
      <c r="O74" s="82"/>
      <c r="P74" s="82"/>
      <c r="Q74" s="82"/>
    </row>
    <row r="75" spans="1:17" s="81" customFormat="1" x14ac:dyDescent="0.25">
      <c r="A75" s="87"/>
      <c r="B75" s="143"/>
      <c r="C75" s="143"/>
      <c r="D75" s="143"/>
      <c r="E75" s="143"/>
      <c r="F75" s="143"/>
      <c r="G75" s="143"/>
      <c r="H75" s="143"/>
      <c r="I75" s="143"/>
      <c r="J75" s="143"/>
      <c r="K75" s="144"/>
      <c r="L75" s="145"/>
      <c r="O75" s="82"/>
      <c r="P75" s="82"/>
      <c r="Q75" s="82"/>
    </row>
    <row r="76" spans="1:17" s="81" customFormat="1" x14ac:dyDescent="0.25">
      <c r="A76" s="87"/>
      <c r="B76" s="143"/>
      <c r="C76" s="143"/>
      <c r="D76" s="143"/>
      <c r="E76" s="143"/>
      <c r="F76" s="143"/>
      <c r="G76" s="143"/>
      <c r="H76" s="143"/>
      <c r="I76" s="143"/>
      <c r="J76" s="143"/>
      <c r="K76" s="144"/>
      <c r="L76" s="145"/>
      <c r="M76" s="143"/>
      <c r="O76" s="82"/>
      <c r="P76" s="82"/>
      <c r="Q76" s="82"/>
    </row>
    <row r="77" spans="1:17" s="81" customFormat="1" x14ac:dyDescent="0.25">
      <c r="A77" s="87"/>
      <c r="B77" s="143"/>
      <c r="C77" s="143"/>
      <c r="D77" s="143"/>
      <c r="E77" s="143"/>
      <c r="F77" s="143"/>
      <c r="G77" s="143"/>
      <c r="H77" s="143"/>
      <c r="I77" s="143"/>
      <c r="J77" s="143"/>
      <c r="K77" s="144"/>
      <c r="L77" s="145"/>
      <c r="O77" s="82"/>
      <c r="P77" s="82"/>
      <c r="Q77" s="82"/>
    </row>
    <row r="78" spans="1:17" s="81" customFormat="1" x14ac:dyDescent="0.25">
      <c r="A78" s="87"/>
      <c r="B78" s="143"/>
      <c r="C78" s="143"/>
      <c r="D78" s="143"/>
      <c r="E78" s="143"/>
      <c r="F78" s="143"/>
      <c r="G78" s="143"/>
      <c r="H78" s="143"/>
      <c r="I78" s="143"/>
      <c r="J78" s="143"/>
      <c r="K78" s="144"/>
      <c r="L78" s="145"/>
      <c r="M78" s="171"/>
      <c r="O78" s="82"/>
      <c r="P78" s="82"/>
      <c r="Q78" s="82"/>
    </row>
    <row r="79" spans="1:17" s="81" customFormat="1" x14ac:dyDescent="0.25">
      <c r="A79" s="87"/>
      <c r="B79" s="143"/>
      <c r="C79" s="143"/>
      <c r="D79" s="143"/>
      <c r="E79" s="143"/>
      <c r="F79" s="143"/>
      <c r="G79" s="143"/>
      <c r="H79" s="143"/>
      <c r="I79" s="143"/>
      <c r="J79" s="143"/>
      <c r="K79" s="144"/>
      <c r="L79" s="145"/>
      <c r="O79" s="82"/>
      <c r="P79" s="82"/>
      <c r="Q79" s="82"/>
    </row>
    <row r="80" spans="1:17" s="81" customFormat="1" x14ac:dyDescent="0.25">
      <c r="A80" s="87"/>
      <c r="L80" s="145"/>
      <c r="O80" s="82"/>
      <c r="P80" s="82"/>
      <c r="Q80" s="82"/>
    </row>
    <row r="81" spans="1:17" s="81" customFormat="1" x14ac:dyDescent="0.25">
      <c r="A81" s="87"/>
      <c r="L81" s="145"/>
      <c r="O81" s="82"/>
      <c r="P81" s="82"/>
      <c r="Q81" s="82"/>
    </row>
    <row r="82" spans="1:17" s="81" customFormat="1" x14ac:dyDescent="0.25">
      <c r="A82" s="87"/>
      <c r="B82" s="143"/>
      <c r="C82" s="143"/>
      <c r="D82" s="143"/>
      <c r="E82" s="143"/>
      <c r="F82" s="143"/>
      <c r="G82" s="143"/>
      <c r="H82" s="143"/>
      <c r="I82" s="143"/>
      <c r="J82" s="143"/>
      <c r="L82" s="145"/>
      <c r="M82" s="171"/>
      <c r="O82" s="82"/>
      <c r="P82" s="82"/>
      <c r="Q82" s="82"/>
    </row>
  </sheetData>
  <mergeCells count="8">
    <mergeCell ref="H51:I51"/>
    <mergeCell ref="H65:I65"/>
    <mergeCell ref="H6:J6"/>
    <mergeCell ref="K6:M6"/>
    <mergeCell ref="B7:D7"/>
    <mergeCell ref="E7:G7"/>
    <mergeCell ref="H7:J7"/>
    <mergeCell ref="K7:M7"/>
  </mergeCells>
  <pageMargins left="0" right="0" top="0.53" bottom="0.74" header="0.21" footer="0.4"/>
  <pageSetup scale="75" fitToHeight="0" orientation="portrait" r:id="rId1"/>
  <headerFooter alignWithMargins="0">
    <oddHeader xml:space="preserve">&amp;RKY PSC CN 2020-00378  
 Staff's Data Request Set 1 No. 5 Attachment C  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view="pageLayout" zoomScaleNormal="100" zoomScaleSheetLayoutView="100" workbookViewId="0">
      <selection activeCell="H2" sqref="H2"/>
    </sheetView>
  </sheetViews>
  <sheetFormatPr defaultColWidth="9.1796875" defaultRowHeight="15.5" x14ac:dyDescent="0.35"/>
  <cols>
    <col min="1" max="1" width="4.26953125" style="2" customWidth="1"/>
    <col min="2" max="2" width="16.7265625" style="2" customWidth="1"/>
    <col min="3" max="3" width="18.54296875" style="2" customWidth="1"/>
    <col min="4" max="4" width="16.1796875" style="2" customWidth="1"/>
    <col min="5" max="5" width="5.54296875" style="2" customWidth="1"/>
    <col min="6" max="6" width="18" style="2" customWidth="1"/>
    <col min="7" max="7" width="5.1796875" style="2" customWidth="1"/>
    <col min="8" max="8" width="32.54296875" style="2" customWidth="1"/>
    <col min="9" max="9" width="12" style="2" bestFit="1" customWidth="1"/>
    <col min="10" max="16384" width="9.1796875" style="2"/>
  </cols>
  <sheetData>
    <row r="1" spans="1:8" ht="18.5" x14ac:dyDescent="0.45">
      <c r="A1" s="1" t="s">
        <v>0</v>
      </c>
    </row>
    <row r="2" spans="1:8" ht="18.5" x14ac:dyDescent="0.45">
      <c r="A2" s="1" t="s">
        <v>1</v>
      </c>
    </row>
    <row r="3" spans="1:8" ht="18.5" x14ac:dyDescent="0.45">
      <c r="A3" s="3" t="s">
        <v>2</v>
      </c>
      <c r="C3" s="4">
        <v>44044</v>
      </c>
    </row>
    <row r="5" spans="1:8" x14ac:dyDescent="0.35">
      <c r="B5" s="5"/>
      <c r="C5" s="5"/>
      <c r="D5" s="6">
        <f>C3</f>
        <v>44044</v>
      </c>
      <c r="E5" s="7"/>
      <c r="F5" s="6">
        <f>C3</f>
        <v>44044</v>
      </c>
      <c r="G5" s="6"/>
      <c r="H5" s="7"/>
    </row>
    <row r="6" spans="1:8" x14ac:dyDescent="0.35">
      <c r="A6" s="8" t="s">
        <v>3</v>
      </c>
      <c r="B6" s="9" t="s">
        <v>4</v>
      </c>
      <c r="C6" s="9"/>
      <c r="D6" s="10" t="s">
        <v>5</v>
      </c>
      <c r="E6" s="11"/>
      <c r="F6" s="10" t="s">
        <v>6</v>
      </c>
      <c r="G6" s="10"/>
      <c r="H6" s="12"/>
    </row>
    <row r="7" spans="1:8" x14ac:dyDescent="0.35">
      <c r="A7" s="13">
        <v>1</v>
      </c>
      <c r="B7" s="12" t="s">
        <v>7</v>
      </c>
      <c r="C7" s="12"/>
      <c r="D7" s="14">
        <f>D24*0.3</f>
        <v>24871.760160000002</v>
      </c>
      <c r="E7" s="15"/>
      <c r="F7" s="14">
        <f>F24*0.3</f>
        <v>25851.698160000004</v>
      </c>
      <c r="G7" s="15"/>
      <c r="H7" s="16" t="s">
        <v>8</v>
      </c>
    </row>
    <row r="8" spans="1:8" x14ac:dyDescent="0.35">
      <c r="A8" s="13">
        <f>A7+1</f>
        <v>2</v>
      </c>
      <c r="B8" s="12" t="s">
        <v>7</v>
      </c>
      <c r="C8" s="12"/>
      <c r="D8" s="17">
        <f>IF(D24&gt;0,(D16-D24)*0.5,0)</f>
        <v>67884.846399999995</v>
      </c>
      <c r="E8" s="18"/>
      <c r="F8" s="17">
        <f>IF(F24&gt;0,(F16-F24)*0.5,0)</f>
        <v>66251.616399999999</v>
      </c>
      <c r="G8" s="18"/>
      <c r="H8" s="16" t="s">
        <v>9</v>
      </c>
    </row>
    <row r="9" spans="1:8" x14ac:dyDescent="0.35">
      <c r="A9" s="13">
        <f>A8+1</f>
        <v>3</v>
      </c>
      <c r="B9" s="19" t="s">
        <v>10</v>
      </c>
      <c r="C9" s="19"/>
      <c r="D9" s="20">
        <f>D7+D8</f>
        <v>92756.60656</v>
      </c>
      <c r="E9" s="21"/>
      <c r="F9" s="20">
        <f>F7+F8</f>
        <v>92103.314559999999</v>
      </c>
      <c r="G9" s="21"/>
      <c r="H9" s="22"/>
    </row>
    <row r="10" spans="1:8" x14ac:dyDescent="0.35">
      <c r="A10" s="13"/>
      <c r="B10" s="12"/>
      <c r="C10" s="12"/>
      <c r="D10" s="24"/>
      <c r="E10" s="25"/>
      <c r="F10" s="25"/>
      <c r="G10" s="25"/>
      <c r="H10" s="22"/>
    </row>
    <row r="11" spans="1:8" x14ac:dyDescent="0.35">
      <c r="A11" s="13">
        <f>A9+1</f>
        <v>4</v>
      </c>
      <c r="B11" s="12" t="s">
        <v>11</v>
      </c>
      <c r="C11" s="12"/>
      <c r="D11" s="26">
        <v>77833.75</v>
      </c>
      <c r="E11" s="27"/>
      <c r="F11" s="26">
        <v>77833.75</v>
      </c>
      <c r="G11" s="28"/>
      <c r="H11" s="38"/>
    </row>
    <row r="12" spans="1:8" x14ac:dyDescent="0.35">
      <c r="A12" s="13">
        <f>A11+1</f>
        <v>5</v>
      </c>
      <c r="B12" s="12" t="s">
        <v>12</v>
      </c>
      <c r="C12" s="12"/>
      <c r="D12" s="29">
        <v>42938.05</v>
      </c>
      <c r="E12" s="30"/>
      <c r="F12" s="26">
        <v>42938.05</v>
      </c>
      <c r="G12" s="31"/>
      <c r="H12" s="22"/>
    </row>
    <row r="13" spans="1:8" x14ac:dyDescent="0.35">
      <c r="A13" s="13">
        <f>A12+1</f>
        <v>6</v>
      </c>
      <c r="B13" s="12" t="s">
        <v>13</v>
      </c>
      <c r="C13" s="32" t="s">
        <v>14</v>
      </c>
      <c r="D13" s="29">
        <v>0</v>
      </c>
      <c r="E13" s="30"/>
      <c r="F13" s="26">
        <v>0</v>
      </c>
      <c r="G13" s="31"/>
      <c r="H13" s="33"/>
    </row>
    <row r="14" spans="1:8" x14ac:dyDescent="0.35">
      <c r="A14" s="13"/>
      <c r="B14" s="12"/>
      <c r="C14" s="32" t="s">
        <v>15</v>
      </c>
      <c r="D14" s="29">
        <v>97903.76</v>
      </c>
      <c r="E14" s="34" t="s">
        <v>16</v>
      </c>
      <c r="F14" s="29">
        <v>97903.76</v>
      </c>
      <c r="G14" s="31"/>
      <c r="H14" s="33"/>
    </row>
    <row r="15" spans="1:8" x14ac:dyDescent="0.35">
      <c r="A15" s="13"/>
      <c r="B15" s="12"/>
      <c r="D15" s="35"/>
      <c r="E15" s="30"/>
      <c r="F15" s="31"/>
      <c r="G15" s="31"/>
      <c r="H15" s="36"/>
    </row>
    <row r="16" spans="1:8" x14ac:dyDescent="0.35">
      <c r="A16" s="13">
        <v>7</v>
      </c>
      <c r="B16" s="12" t="s">
        <v>17</v>
      </c>
      <c r="C16" s="12"/>
      <c r="D16" s="37">
        <f>D11+D12+D13+D14</f>
        <v>218675.56</v>
      </c>
      <c r="E16" s="15"/>
      <c r="F16" s="14">
        <f>F11+F12+F13+F14</f>
        <v>218675.56</v>
      </c>
      <c r="G16" s="15"/>
      <c r="H16" s="38"/>
    </row>
    <row r="17" spans="1:9" x14ac:dyDescent="0.35">
      <c r="D17" s="39"/>
      <c r="H17" s="38"/>
    </row>
    <row r="18" spans="1:9" x14ac:dyDescent="0.35">
      <c r="A18" s="13">
        <f>A16+1</f>
        <v>8</v>
      </c>
      <c r="B18" s="12" t="s">
        <v>18</v>
      </c>
      <c r="C18" s="12"/>
      <c r="D18" s="37">
        <f>D19+D20+D21+D22</f>
        <v>4145293.3600000003</v>
      </c>
      <c r="E18" s="31"/>
      <c r="F18" s="37">
        <f>F19+F20+F21+F22</f>
        <v>4308616.3600000003</v>
      </c>
      <c r="G18" s="31"/>
      <c r="H18" s="23"/>
    </row>
    <row r="19" spans="1:9" x14ac:dyDescent="0.35">
      <c r="A19" s="13"/>
      <c r="B19" s="12"/>
      <c r="C19" s="12" t="s">
        <v>19</v>
      </c>
      <c r="D19" s="29">
        <f>2957636.75-132525-27617.9</f>
        <v>2797493.85</v>
      </c>
      <c r="E19" s="31"/>
      <c r="F19" s="29">
        <f>2961821.75</f>
        <v>2961821.75</v>
      </c>
      <c r="G19" s="31"/>
      <c r="H19" s="23"/>
      <c r="I19" s="23"/>
    </row>
    <row r="20" spans="1:9" x14ac:dyDescent="0.35">
      <c r="A20" s="13"/>
      <c r="B20" s="12"/>
      <c r="C20" s="12" t="s">
        <v>102</v>
      </c>
      <c r="D20" s="29">
        <v>9389.9</v>
      </c>
      <c r="E20" s="31" t="s">
        <v>21</v>
      </c>
      <c r="F20" s="29">
        <v>8947.2000000000007</v>
      </c>
      <c r="G20" s="31" t="s">
        <v>22</v>
      </c>
    </row>
    <row r="21" spans="1:9" x14ac:dyDescent="0.35">
      <c r="A21" s="13"/>
      <c r="B21" s="12"/>
      <c r="C21" s="12" t="s">
        <v>23</v>
      </c>
      <c r="D21" s="29">
        <v>0</v>
      </c>
      <c r="E21" s="31"/>
      <c r="F21" s="29">
        <v>0</v>
      </c>
      <c r="G21" s="31"/>
    </row>
    <row r="22" spans="1:9" x14ac:dyDescent="0.35">
      <c r="A22" s="13"/>
      <c r="B22" s="12"/>
      <c r="C22" s="12" t="s">
        <v>24</v>
      </c>
      <c r="D22" s="29">
        <v>1338409.6100000001</v>
      </c>
      <c r="E22" s="31"/>
      <c r="F22" s="29">
        <v>1337847.4099999999</v>
      </c>
      <c r="G22" s="31"/>
    </row>
    <row r="23" spans="1:9" x14ac:dyDescent="0.35">
      <c r="A23" s="13"/>
      <c r="B23" s="12"/>
      <c r="C23" s="12"/>
      <c r="D23" s="29"/>
      <c r="E23" s="31"/>
      <c r="F23" s="29"/>
      <c r="G23" s="31"/>
    </row>
    <row r="24" spans="1:9" x14ac:dyDescent="0.35">
      <c r="A24" s="13">
        <v>9</v>
      </c>
      <c r="B24" s="12" t="s">
        <v>25</v>
      </c>
      <c r="C24" s="12"/>
      <c r="D24" s="38">
        <f>IF((D16/D18)&gt;=0.02,0.02*D18,D16)</f>
        <v>82905.867200000008</v>
      </c>
      <c r="E24" s="40"/>
      <c r="F24" s="38">
        <f>IF((F16/F18)&gt;=0.02,0.02*F18,F16)</f>
        <v>86172.327200000014</v>
      </c>
      <c r="G24" s="40"/>
      <c r="H24" s="12"/>
    </row>
    <row r="25" spans="1:9" x14ac:dyDescent="0.35">
      <c r="A25" s="13"/>
      <c r="B25" s="12"/>
      <c r="C25" s="12"/>
      <c r="D25" s="40"/>
      <c r="E25" s="40"/>
      <c r="F25" s="40"/>
      <c r="G25" s="40"/>
      <c r="H25" s="12"/>
    </row>
    <row r="26" spans="1:9" x14ac:dyDescent="0.35">
      <c r="A26" s="13">
        <f>A24+1</f>
        <v>10</v>
      </c>
      <c r="B26" s="12" t="s">
        <v>26</v>
      </c>
      <c r="C26" s="12"/>
      <c r="D26" s="41">
        <f>(D11+D12+D13+D14)/D18</f>
        <v>5.2752734489218391E-2</v>
      </c>
      <c r="E26" s="41"/>
      <c r="F26" s="41">
        <f>(F11+F12+F13+F14)/F18</f>
        <v>5.0753082133309257E-2</v>
      </c>
      <c r="G26" s="41"/>
      <c r="H26" s="12"/>
    </row>
    <row r="27" spans="1:9" x14ac:dyDescent="0.35">
      <c r="B27" s="12"/>
      <c r="C27" s="12"/>
      <c r="D27" s="41"/>
      <c r="E27" s="41"/>
      <c r="F27" s="41"/>
      <c r="G27" s="41"/>
      <c r="H27" s="12"/>
    </row>
    <row r="28" spans="1:9" x14ac:dyDescent="0.35">
      <c r="B28" s="12"/>
      <c r="C28" s="12"/>
      <c r="D28" s="41"/>
      <c r="E28" s="41"/>
      <c r="F28" s="41"/>
      <c r="G28" s="41"/>
      <c r="H28" s="12"/>
    </row>
    <row r="29" spans="1:9" x14ac:dyDescent="0.35">
      <c r="A29" s="204" t="s">
        <v>27</v>
      </c>
      <c r="B29" s="204"/>
      <c r="C29" s="42"/>
    </row>
    <row r="30" spans="1:9" ht="15.75" customHeight="1" x14ac:dyDescent="0.35">
      <c r="A30" s="43" t="s">
        <v>28</v>
      </c>
      <c r="B30" s="44"/>
      <c r="C30" s="44"/>
      <c r="D30" s="45" t="s">
        <v>29</v>
      </c>
    </row>
    <row r="31" spans="1:9" ht="15.75" customHeight="1" x14ac:dyDescent="0.35">
      <c r="A31" s="43" t="s">
        <v>30</v>
      </c>
      <c r="B31" s="43"/>
      <c r="C31" s="44"/>
    </row>
    <row r="32" spans="1:9" ht="15" customHeight="1" x14ac:dyDescent="0.35">
      <c r="A32" s="43" t="s">
        <v>31</v>
      </c>
      <c r="B32" s="43"/>
      <c r="C32" s="44"/>
    </row>
    <row r="33" spans="1:3" ht="15.75" customHeight="1" x14ac:dyDescent="0.35">
      <c r="A33" s="43" t="s">
        <v>32</v>
      </c>
      <c r="B33" s="43"/>
      <c r="C33" s="44"/>
    </row>
    <row r="34" spans="1:3" ht="15.75" customHeight="1" x14ac:dyDescent="0.35">
      <c r="A34" s="43" t="s">
        <v>33</v>
      </c>
      <c r="B34" s="43"/>
      <c r="C34" s="44"/>
    </row>
    <row r="35" spans="1:3" ht="15.75" customHeight="1" x14ac:dyDescent="0.35">
      <c r="A35" s="43" t="s">
        <v>34</v>
      </c>
      <c r="B35" s="43"/>
      <c r="C35" s="44"/>
    </row>
    <row r="36" spans="1:3" ht="15.75" customHeight="1" x14ac:dyDescent="0.35">
      <c r="A36" s="43" t="s">
        <v>35</v>
      </c>
      <c r="B36" s="43"/>
      <c r="C36" s="44"/>
    </row>
    <row r="37" spans="1:3" ht="15.75" customHeight="1" x14ac:dyDescent="0.35">
      <c r="A37" s="43" t="s">
        <v>36</v>
      </c>
      <c r="B37" s="43"/>
      <c r="C37" s="44"/>
    </row>
    <row r="39" spans="1:3" x14ac:dyDescent="0.35">
      <c r="A39" s="46" t="s">
        <v>37</v>
      </c>
    </row>
    <row r="41" spans="1:3" x14ac:dyDescent="0.35">
      <c r="A41" s="47"/>
    </row>
    <row r="42" spans="1:3" x14ac:dyDescent="0.35">
      <c r="A42" s="47"/>
    </row>
    <row r="43" spans="1:3" x14ac:dyDescent="0.35">
      <c r="A43" s="47"/>
    </row>
  </sheetData>
  <mergeCells count="1">
    <mergeCell ref="A29:B29"/>
  </mergeCells>
  <pageMargins left="0.25" right="0.25" top="0.75" bottom="0.75" header="0.3" footer="0.3"/>
  <pageSetup scale="86" orientation="portrait" r:id="rId1"/>
  <headerFooter>
    <oddHeader xml:space="preserve">&amp;RKY PSC CN 2020-00378  
 Staff's Data Request Set 1 No. 5 Attachment C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Layout" zoomScaleNormal="100" workbookViewId="0">
      <selection activeCell="H3" sqref="H3"/>
    </sheetView>
  </sheetViews>
  <sheetFormatPr defaultRowHeight="14.5" x14ac:dyDescent="0.35"/>
  <cols>
    <col min="1" max="1" width="15.26953125" customWidth="1"/>
    <col min="2" max="2" width="11.7265625" style="48" customWidth="1"/>
    <col min="3" max="3" width="9.26953125" style="48" customWidth="1"/>
    <col min="4" max="4" width="9.81640625" style="48" customWidth="1"/>
    <col min="5" max="5" width="7.81640625" style="48" customWidth="1"/>
    <col min="6" max="6" width="9.7265625" style="48" customWidth="1"/>
    <col min="7" max="7" width="10" style="49" customWidth="1"/>
    <col min="8" max="8" width="23.54296875" customWidth="1"/>
    <col min="9" max="9" width="1.453125" customWidth="1"/>
    <col min="10" max="10" width="15.26953125" style="50" customWidth="1"/>
    <col min="11" max="11" width="3.7265625" style="50" customWidth="1"/>
    <col min="12" max="12" width="22.453125" customWidth="1"/>
    <col min="14" max="14" width="16" customWidth="1"/>
    <col min="15" max="15" width="12.81640625" customWidth="1"/>
    <col min="16" max="16" width="11.81640625" bestFit="1" customWidth="1"/>
  </cols>
  <sheetData>
    <row r="1" spans="1:14" ht="18.5" x14ac:dyDescent="0.45">
      <c r="A1" s="1" t="s">
        <v>38</v>
      </c>
    </row>
    <row r="2" spans="1:14" ht="18.5" x14ac:dyDescent="0.45">
      <c r="A2" s="1"/>
    </row>
    <row r="3" spans="1:14" ht="18.5" x14ac:dyDescent="0.45">
      <c r="A3" s="1" t="s">
        <v>39</v>
      </c>
      <c r="B3" s="51">
        <f>'February 20 TCPS CALC'!C10</f>
        <v>43862</v>
      </c>
      <c r="C3" s="52"/>
    </row>
    <row r="5" spans="1:14" x14ac:dyDescent="0.35">
      <c r="D5" s="53" t="s">
        <v>40</v>
      </c>
      <c r="E5" s="53" t="s">
        <v>41</v>
      </c>
    </row>
    <row r="6" spans="1:14" x14ac:dyDescent="0.35">
      <c r="C6" s="54" t="s">
        <v>42</v>
      </c>
      <c r="D6" s="54" t="s">
        <v>43</v>
      </c>
      <c r="E6" s="54" t="s">
        <v>44</v>
      </c>
      <c r="F6" s="54" t="s">
        <v>45</v>
      </c>
      <c r="G6" s="55" t="s">
        <v>46</v>
      </c>
      <c r="H6" s="54" t="s">
        <v>47</v>
      </c>
      <c r="J6" s="56" t="s">
        <v>48</v>
      </c>
      <c r="K6" s="56"/>
      <c r="L6" s="56" t="s">
        <v>49</v>
      </c>
    </row>
    <row r="7" spans="1:14" x14ac:dyDescent="0.35">
      <c r="A7" t="s">
        <v>50</v>
      </c>
      <c r="B7" s="48" t="s">
        <v>51</v>
      </c>
      <c r="C7" s="48" t="s">
        <v>52</v>
      </c>
      <c r="D7" s="48">
        <v>352234</v>
      </c>
      <c r="E7" s="48" t="s">
        <v>53</v>
      </c>
      <c r="F7" s="57">
        <v>16000</v>
      </c>
      <c r="G7" s="58">
        <v>4.5805999999999996</v>
      </c>
      <c r="H7" s="59" t="s">
        <v>54</v>
      </c>
      <c r="J7" s="50">
        <f>F7*G7</f>
        <v>73289.599999999991</v>
      </c>
      <c r="K7" s="60"/>
      <c r="L7" s="50">
        <f>F7*G7</f>
        <v>73289.599999999991</v>
      </c>
      <c r="M7" s="61"/>
      <c r="N7" s="50"/>
    </row>
    <row r="8" spans="1:14" x14ac:dyDescent="0.35">
      <c r="C8" s="48" t="s">
        <v>55</v>
      </c>
      <c r="D8" s="48">
        <v>80160</v>
      </c>
      <c r="E8" s="48" t="s">
        <v>56</v>
      </c>
      <c r="F8" s="57">
        <v>190880</v>
      </c>
      <c r="G8" s="58">
        <v>4.1849999999999996</v>
      </c>
      <c r="H8" s="59" t="s">
        <v>54</v>
      </c>
      <c r="J8" s="50">
        <f>F8*G8</f>
        <v>798832.79999999993</v>
      </c>
      <c r="K8" s="60"/>
      <c r="L8" s="50">
        <f>F8*G8</f>
        <v>798832.79999999993</v>
      </c>
      <c r="N8" s="50"/>
    </row>
    <row r="9" spans="1:14" x14ac:dyDescent="0.35">
      <c r="C9" s="48" t="s">
        <v>55</v>
      </c>
      <c r="D9" s="48">
        <v>81540</v>
      </c>
      <c r="E9" s="48" t="s">
        <v>56</v>
      </c>
      <c r="F9" s="57">
        <v>30000</v>
      </c>
      <c r="G9" s="58">
        <v>4.1849999999999996</v>
      </c>
      <c r="H9" s="59" t="s">
        <v>54</v>
      </c>
      <c r="J9" s="62">
        <f>F9*G9</f>
        <v>125549.99999999999</v>
      </c>
      <c r="K9" s="60"/>
      <c r="L9" s="50">
        <f>F9*G9</f>
        <v>125549.99999999999</v>
      </c>
      <c r="N9" s="50"/>
    </row>
    <row r="10" spans="1:14" x14ac:dyDescent="0.35">
      <c r="F10" s="57"/>
      <c r="G10" s="58"/>
      <c r="H10" s="59"/>
      <c r="J10" s="50">
        <f>SUM(J7:J9)</f>
        <v>997672.39999999991</v>
      </c>
      <c r="K10" s="63"/>
      <c r="L10" s="50">
        <f>SUM(L7:L9)</f>
        <v>997672.39999999991</v>
      </c>
    </row>
    <row r="11" spans="1:14" x14ac:dyDescent="0.35">
      <c r="D11" s="48">
        <v>0</v>
      </c>
      <c r="F11" s="57"/>
      <c r="G11" s="58"/>
      <c r="H11" s="59"/>
      <c r="K11" s="63"/>
      <c r="L11" s="50"/>
    </row>
    <row r="12" spans="1:14" x14ac:dyDescent="0.35">
      <c r="D12" s="48">
        <v>0</v>
      </c>
      <c r="F12" s="64"/>
      <c r="G12" s="65" t="s">
        <v>57</v>
      </c>
      <c r="H12" s="59"/>
      <c r="K12" s="63"/>
      <c r="L12" s="50"/>
    </row>
    <row r="13" spans="1:14" x14ac:dyDescent="0.35">
      <c r="A13" t="s">
        <v>58</v>
      </c>
      <c r="B13" s="48" t="s">
        <v>59</v>
      </c>
      <c r="C13" s="48" t="s">
        <v>52</v>
      </c>
      <c r="D13" s="48">
        <v>352234</v>
      </c>
      <c r="E13" s="48" t="s">
        <v>53</v>
      </c>
      <c r="F13" s="57">
        <v>16000</v>
      </c>
      <c r="G13" s="58">
        <v>4.5805999999999996</v>
      </c>
      <c r="H13" s="59" t="s">
        <v>60</v>
      </c>
      <c r="J13" s="50">
        <f>F13*G13</f>
        <v>73289.599999999991</v>
      </c>
      <c r="K13" s="60"/>
      <c r="L13" s="66">
        <f>F13*G13</f>
        <v>73289.599999999991</v>
      </c>
      <c r="N13" s="50"/>
    </row>
    <row r="14" spans="1:14" x14ac:dyDescent="0.35">
      <c r="C14" s="48" t="s">
        <v>55</v>
      </c>
      <c r="D14" s="48">
        <v>80160</v>
      </c>
      <c r="E14" s="48" t="s">
        <v>56</v>
      </c>
      <c r="F14" s="57">
        <v>190880</v>
      </c>
      <c r="G14" s="58">
        <v>4.1849999999999996</v>
      </c>
      <c r="H14" s="59" t="s">
        <v>60</v>
      </c>
      <c r="J14" s="50">
        <f>F14*G14</f>
        <v>798832.79999999993</v>
      </c>
      <c r="K14" s="60"/>
      <c r="L14" s="66">
        <f>F14*G14</f>
        <v>798832.79999999993</v>
      </c>
      <c r="N14" s="50"/>
    </row>
    <row r="15" spans="1:14" x14ac:dyDescent="0.35">
      <c r="C15" s="48" t="s">
        <v>55</v>
      </c>
      <c r="D15" s="48">
        <v>81540</v>
      </c>
      <c r="E15" s="48" t="s">
        <v>56</v>
      </c>
      <c r="F15" s="57">
        <v>30000</v>
      </c>
      <c r="G15" s="58">
        <v>4.1849999999999996</v>
      </c>
      <c r="H15" s="59" t="s">
        <v>60</v>
      </c>
      <c r="J15" s="50">
        <f>F15*G15</f>
        <v>125549.99999999999</v>
      </c>
      <c r="K15" s="60"/>
      <c r="L15" s="66">
        <f>F15*G15</f>
        <v>125549.99999999999</v>
      </c>
      <c r="N15" s="50"/>
    </row>
    <row r="16" spans="1:14" x14ac:dyDescent="0.35">
      <c r="F16" s="57"/>
      <c r="G16" s="58"/>
      <c r="H16" s="59"/>
      <c r="J16" s="67"/>
      <c r="L16" s="67"/>
    </row>
    <row r="17" spans="1:16" x14ac:dyDescent="0.35">
      <c r="H17" s="59"/>
      <c r="J17" s="50">
        <f>SUM(J13:J16)</f>
        <v>997672.39999999991</v>
      </c>
      <c r="L17" s="50">
        <f>SUM(L13:L16)</f>
        <v>997672.39999999991</v>
      </c>
    </row>
    <row r="18" spans="1:16" x14ac:dyDescent="0.35">
      <c r="D18" s="48">
        <v>0</v>
      </c>
      <c r="H18" s="59"/>
      <c r="L18" s="50"/>
    </row>
    <row r="19" spans="1:16" x14ac:dyDescent="0.35">
      <c r="A19" s="72" t="s">
        <v>61</v>
      </c>
      <c r="C19" s="53" t="s">
        <v>62</v>
      </c>
      <c r="D19" s="53" t="s">
        <v>63</v>
      </c>
      <c r="F19" s="57">
        <v>17765</v>
      </c>
      <c r="G19" s="58">
        <v>1.0149999999999999</v>
      </c>
      <c r="H19" s="59"/>
      <c r="J19" s="67">
        <v>18031.48</v>
      </c>
      <c r="L19" s="67">
        <v>18031.48</v>
      </c>
    </row>
    <row r="20" spans="1:16" x14ac:dyDescent="0.35">
      <c r="A20" s="72" t="s">
        <v>61</v>
      </c>
      <c r="C20" s="53" t="s">
        <v>62</v>
      </c>
      <c r="D20" s="53" t="s">
        <v>63</v>
      </c>
      <c r="F20" s="57">
        <v>3000</v>
      </c>
      <c r="G20" s="58">
        <v>1.1890000000000001</v>
      </c>
      <c r="H20" s="59"/>
      <c r="J20" s="67">
        <v>3567</v>
      </c>
      <c r="L20" s="67">
        <v>3567</v>
      </c>
    </row>
    <row r="21" spans="1:16" x14ac:dyDescent="0.35">
      <c r="A21" s="72" t="s">
        <v>61</v>
      </c>
      <c r="C21" s="53" t="s">
        <v>62</v>
      </c>
      <c r="D21" s="53" t="s">
        <v>63</v>
      </c>
      <c r="F21" s="57">
        <v>3135</v>
      </c>
      <c r="G21" s="58">
        <v>1.0149999999999999</v>
      </c>
      <c r="H21" s="59"/>
      <c r="J21" s="67">
        <v>3182.03</v>
      </c>
      <c r="L21" s="67">
        <v>3182.03</v>
      </c>
    </row>
    <row r="22" spans="1:16" x14ac:dyDescent="0.35">
      <c r="A22" s="72" t="s">
        <v>61</v>
      </c>
      <c r="C22" s="53" t="s">
        <v>62</v>
      </c>
      <c r="D22" s="53" t="s">
        <v>63</v>
      </c>
      <c r="F22" s="57">
        <v>0</v>
      </c>
      <c r="G22" s="58">
        <v>0</v>
      </c>
      <c r="H22" s="59"/>
      <c r="J22" s="67">
        <v>0</v>
      </c>
      <c r="L22" s="67">
        <v>0</v>
      </c>
    </row>
    <row r="23" spans="1:16" x14ac:dyDescent="0.35">
      <c r="A23" s="72" t="s">
        <v>61</v>
      </c>
      <c r="C23" s="53" t="s">
        <v>62</v>
      </c>
      <c r="D23" s="53" t="s">
        <v>63</v>
      </c>
      <c r="F23" s="57">
        <v>0</v>
      </c>
      <c r="G23" s="58">
        <v>0</v>
      </c>
      <c r="H23" s="59"/>
      <c r="J23" s="67">
        <v>0</v>
      </c>
      <c r="L23" s="67">
        <v>0</v>
      </c>
    </row>
    <row r="24" spans="1:16" x14ac:dyDescent="0.35">
      <c r="A24" s="72" t="s">
        <v>61</v>
      </c>
      <c r="C24" s="53" t="s">
        <v>64</v>
      </c>
      <c r="D24" s="53" t="s">
        <v>65</v>
      </c>
      <c r="F24" s="57">
        <v>8000</v>
      </c>
      <c r="G24" s="58">
        <v>2.7450000000000001</v>
      </c>
      <c r="H24" s="59"/>
      <c r="J24" s="67">
        <f>F24*G24</f>
        <v>21960</v>
      </c>
      <c r="L24" s="67">
        <v>21960</v>
      </c>
    </row>
    <row r="25" spans="1:16" x14ac:dyDescent="0.35">
      <c r="H25" s="59"/>
      <c r="L25" s="50"/>
    </row>
    <row r="26" spans="1:16" x14ac:dyDescent="0.35">
      <c r="H26" s="71" t="s">
        <v>66</v>
      </c>
      <c r="J26" s="73">
        <f>J10-J17+J19+J23+J22+J21+J24+J20</f>
        <v>46740.509999999995</v>
      </c>
      <c r="K26" s="74"/>
      <c r="L26" s="73">
        <f>L10-L17+L19+L23+L22+L21+L24+L20</f>
        <v>46740.509999999995</v>
      </c>
      <c r="N26" s="50"/>
      <c r="O26" s="50"/>
      <c r="P26" s="50"/>
    </row>
    <row r="29" spans="1:16" x14ac:dyDescent="0.35">
      <c r="A29" s="75"/>
    </row>
    <row r="30" spans="1:16" x14ac:dyDescent="0.35">
      <c r="A30" s="76"/>
    </row>
    <row r="32" spans="1:16" x14ac:dyDescent="0.35">
      <c r="B32" s="77" t="s">
        <v>67</v>
      </c>
      <c r="C32" s="77"/>
      <c r="D32" s="77"/>
      <c r="E32" s="77"/>
      <c r="F32" s="77"/>
      <c r="G32" s="78"/>
    </row>
    <row r="33" spans="1:7" x14ac:dyDescent="0.35">
      <c r="A33" s="72" t="s">
        <v>68</v>
      </c>
      <c r="B33" s="77"/>
      <c r="C33" s="77"/>
      <c r="D33" s="77"/>
      <c r="E33" s="77"/>
      <c r="F33" s="77"/>
      <c r="G33" s="78"/>
    </row>
    <row r="34" spans="1:7" x14ac:dyDescent="0.35">
      <c r="B34" s="77" t="s">
        <v>69</v>
      </c>
      <c r="C34" s="77"/>
      <c r="D34" s="77"/>
      <c r="E34" s="77"/>
      <c r="F34" s="77"/>
      <c r="G34" s="78"/>
    </row>
    <row r="35" spans="1:7" x14ac:dyDescent="0.35">
      <c r="A35" s="72" t="s">
        <v>70</v>
      </c>
      <c r="B35" s="77"/>
      <c r="C35" s="77"/>
      <c r="D35" s="77"/>
      <c r="E35" s="77"/>
      <c r="F35" s="77"/>
      <c r="G35" s="78"/>
    </row>
    <row r="36" spans="1:7" x14ac:dyDescent="0.35">
      <c r="A36" s="72"/>
      <c r="B36" s="77" t="s">
        <v>71</v>
      </c>
      <c r="C36" s="77"/>
      <c r="D36" s="77"/>
      <c r="E36" s="77"/>
      <c r="F36" s="77"/>
      <c r="G36" s="78"/>
    </row>
    <row r="37" spans="1:7" x14ac:dyDescent="0.35">
      <c r="A37" s="72" t="s">
        <v>72</v>
      </c>
    </row>
  </sheetData>
  <pageMargins left="0.17" right="0.17" top="0.66" bottom="0.55000000000000004" header="0.24" footer="0.33"/>
  <pageSetup scale="74" fitToHeight="0" orientation="portrait" r:id="rId1"/>
  <headerFooter>
    <oddHeader xml:space="preserve">&amp;RKY PSC CN 2020-00378  
 Staff's Data Request Set 1 No. 5 Attachment C  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view="pageLayout" zoomScaleNormal="100" workbookViewId="0">
      <selection activeCell="L2" sqref="L2"/>
    </sheetView>
  </sheetViews>
  <sheetFormatPr defaultRowHeight="14.5" x14ac:dyDescent="0.35"/>
  <cols>
    <col min="1" max="1" width="15.26953125" customWidth="1"/>
    <col min="2" max="2" width="14.81640625" style="48" customWidth="1"/>
    <col min="3" max="3" width="9.26953125" style="48" customWidth="1"/>
    <col min="4" max="4" width="9.81640625" style="48" customWidth="1"/>
    <col min="5" max="5" width="7.81640625" style="48" customWidth="1"/>
    <col min="6" max="6" width="9.7265625" style="48" customWidth="1"/>
    <col min="7" max="7" width="10" style="49" customWidth="1"/>
    <col min="8" max="8" width="23.54296875" customWidth="1"/>
    <col min="9" max="9" width="1.453125" customWidth="1"/>
    <col min="10" max="10" width="15.26953125" style="50" customWidth="1"/>
    <col min="11" max="11" width="4.1796875" style="50" bestFit="1" customWidth="1"/>
    <col min="12" max="12" width="22.453125" customWidth="1"/>
    <col min="14" max="14" width="16" customWidth="1"/>
    <col min="15" max="15" width="12.81640625" customWidth="1"/>
    <col min="16" max="16" width="11.81640625" bestFit="1" customWidth="1"/>
  </cols>
  <sheetData>
    <row r="1" spans="1:14" ht="18.5" x14ac:dyDescent="0.45">
      <c r="A1" s="1" t="s">
        <v>38</v>
      </c>
    </row>
    <row r="2" spans="1:14" ht="18.5" x14ac:dyDescent="0.45">
      <c r="A2" s="1"/>
    </row>
    <row r="3" spans="1:14" ht="18.5" x14ac:dyDescent="0.45">
      <c r="A3" s="1" t="s">
        <v>39</v>
      </c>
      <c r="B3" s="51">
        <f>'August 20 TCPS CALC'!C3</f>
        <v>44044</v>
      </c>
      <c r="C3" s="52"/>
    </row>
    <row r="5" spans="1:14" x14ac:dyDescent="0.35">
      <c r="D5" s="53" t="s">
        <v>40</v>
      </c>
      <c r="E5" s="53" t="s">
        <v>41</v>
      </c>
    </row>
    <row r="6" spans="1:14" x14ac:dyDescent="0.35">
      <c r="C6" s="54" t="s">
        <v>42</v>
      </c>
      <c r="D6" s="54" t="s">
        <v>43</v>
      </c>
      <c r="E6" s="54" t="s">
        <v>44</v>
      </c>
      <c r="F6" s="54" t="s">
        <v>45</v>
      </c>
      <c r="G6" s="55" t="s">
        <v>46</v>
      </c>
      <c r="H6" s="54" t="s">
        <v>47</v>
      </c>
      <c r="J6" s="56" t="s">
        <v>48</v>
      </c>
      <c r="K6" s="56"/>
      <c r="L6" s="56" t="s">
        <v>49</v>
      </c>
    </row>
    <row r="7" spans="1:14" x14ac:dyDescent="0.35">
      <c r="A7" t="s">
        <v>50</v>
      </c>
      <c r="B7" s="48" t="s">
        <v>51</v>
      </c>
      <c r="C7" s="48" t="s">
        <v>52</v>
      </c>
      <c r="D7" s="48">
        <v>352234</v>
      </c>
      <c r="E7" s="48" t="s">
        <v>53</v>
      </c>
      <c r="F7" s="57">
        <v>16000</v>
      </c>
      <c r="G7" s="58">
        <v>4.5805999999999996</v>
      </c>
      <c r="H7" s="59" t="s">
        <v>54</v>
      </c>
      <c r="J7" s="50">
        <f>F7*G7</f>
        <v>73289.599999999991</v>
      </c>
      <c r="K7" s="60"/>
      <c r="L7" s="50">
        <v>73289.600000000006</v>
      </c>
      <c r="M7" s="61"/>
      <c r="N7" s="50"/>
    </row>
    <row r="8" spans="1:14" x14ac:dyDescent="0.35">
      <c r="C8" s="48" t="s">
        <v>55</v>
      </c>
      <c r="D8" s="48">
        <v>80160</v>
      </c>
      <c r="E8" s="48" t="s">
        <v>56</v>
      </c>
      <c r="F8" s="57">
        <v>104940</v>
      </c>
      <c r="G8" s="58">
        <v>4.8558000000000003</v>
      </c>
      <c r="H8" s="59" t="s">
        <v>54</v>
      </c>
      <c r="J8" s="67">
        <f>F8*G8</f>
        <v>509567.65200000006</v>
      </c>
      <c r="K8" s="178"/>
      <c r="L8" s="67">
        <f>F8*G8</f>
        <v>509567.65200000006</v>
      </c>
      <c r="N8" s="50"/>
    </row>
    <row r="9" spans="1:14" x14ac:dyDescent="0.35">
      <c r="F9" s="57"/>
      <c r="G9" s="58"/>
      <c r="H9" s="179" t="s">
        <v>103</v>
      </c>
      <c r="I9" s="180"/>
      <c r="J9" s="181">
        <f>SUM(J7:J8)</f>
        <v>582857.25200000009</v>
      </c>
      <c r="K9" s="182"/>
      <c r="L9" s="181">
        <f>SUM(L7:L8)</f>
        <v>582857.25200000009</v>
      </c>
    </row>
    <row r="10" spans="1:14" x14ac:dyDescent="0.35">
      <c r="D10" s="48">
        <v>0</v>
      </c>
      <c r="F10" s="57"/>
      <c r="G10" s="58"/>
      <c r="H10" s="59"/>
      <c r="K10" s="63"/>
      <c r="L10" s="50"/>
    </row>
    <row r="11" spans="1:14" x14ac:dyDescent="0.35">
      <c r="D11" s="48">
        <v>0</v>
      </c>
      <c r="F11" s="64"/>
      <c r="G11" s="65" t="s">
        <v>57</v>
      </c>
      <c r="H11" s="59"/>
      <c r="K11" s="63"/>
      <c r="L11" s="50"/>
    </row>
    <row r="12" spans="1:14" x14ac:dyDescent="0.35">
      <c r="A12" t="s">
        <v>58</v>
      </c>
      <c r="B12" s="48" t="s">
        <v>59</v>
      </c>
      <c r="C12" s="48" t="s">
        <v>52</v>
      </c>
      <c r="D12" s="48">
        <v>352234</v>
      </c>
      <c r="E12" s="48" t="s">
        <v>53</v>
      </c>
      <c r="F12" s="57">
        <v>16000</v>
      </c>
      <c r="G12" s="58">
        <v>4.5805999999999996</v>
      </c>
      <c r="H12" s="59" t="s">
        <v>60</v>
      </c>
      <c r="J12" s="50">
        <f>F12*G12</f>
        <v>73289.599999999991</v>
      </c>
      <c r="K12" s="60"/>
      <c r="L12" s="66">
        <v>73289.600000000006</v>
      </c>
      <c r="N12" s="50"/>
    </row>
    <row r="13" spans="1:14" x14ac:dyDescent="0.35">
      <c r="C13" s="48" t="s">
        <v>55</v>
      </c>
      <c r="D13" s="48">
        <v>80160</v>
      </c>
      <c r="E13" s="48" t="s">
        <v>56</v>
      </c>
      <c r="F13" s="57">
        <v>104940</v>
      </c>
      <c r="G13" s="58">
        <v>4.1849999999999996</v>
      </c>
      <c r="H13" s="59" t="s">
        <v>60</v>
      </c>
      <c r="J13" s="67">
        <f>F13*G13</f>
        <v>439173.89999999997</v>
      </c>
      <c r="K13" s="178"/>
      <c r="L13" s="66">
        <f>F13*G13</f>
        <v>439173.89999999997</v>
      </c>
      <c r="N13" s="50"/>
    </row>
    <row r="14" spans="1:14" x14ac:dyDescent="0.35">
      <c r="F14" s="57"/>
      <c r="G14" s="58"/>
      <c r="H14" s="183" t="s">
        <v>104</v>
      </c>
      <c r="I14" s="184"/>
      <c r="J14" s="181">
        <f>SUM(J12:J13)</f>
        <v>512463.49999999994</v>
      </c>
      <c r="K14" s="185"/>
      <c r="L14" s="186">
        <f>SUM(L12:L13)</f>
        <v>512463.5</v>
      </c>
      <c r="N14" s="50"/>
    </row>
    <row r="15" spans="1:14" x14ac:dyDescent="0.35">
      <c r="A15" s="68"/>
      <c r="C15" s="53"/>
      <c r="D15" s="53"/>
      <c r="E15" s="53"/>
      <c r="F15" s="69"/>
      <c r="G15" s="70"/>
      <c r="H15" s="71"/>
      <c r="I15" s="72"/>
      <c r="J15" s="62"/>
      <c r="K15" s="67"/>
      <c r="L15" s="62"/>
      <c r="N15" s="50"/>
    </row>
    <row r="16" spans="1:14" x14ac:dyDescent="0.35">
      <c r="F16" s="220" t="s">
        <v>105</v>
      </c>
      <c r="G16" s="220"/>
      <c r="H16" s="220"/>
      <c r="J16" s="187">
        <f>J9-J14</f>
        <v>70393.752000000153</v>
      </c>
      <c r="K16" s="187"/>
      <c r="L16" s="187">
        <f>L9-L14</f>
        <v>70393.752000000095</v>
      </c>
    </row>
    <row r="17" spans="1:16" x14ac:dyDescent="0.35">
      <c r="D17" s="48">
        <v>0</v>
      </c>
      <c r="H17" s="59"/>
      <c r="L17" s="50"/>
    </row>
    <row r="18" spans="1:16" x14ac:dyDescent="0.35">
      <c r="A18" s="72" t="s">
        <v>61</v>
      </c>
      <c r="C18" s="53" t="s">
        <v>55</v>
      </c>
      <c r="D18" s="53" t="s">
        <v>56</v>
      </c>
      <c r="F18" s="57">
        <v>20500</v>
      </c>
      <c r="G18" s="58">
        <f>J18/F18</f>
        <v>0.36292682926829267</v>
      </c>
      <c r="H18" s="59"/>
      <c r="J18" s="67">
        <v>7440</v>
      </c>
      <c r="L18" s="67">
        <v>7440</v>
      </c>
    </row>
    <row r="19" spans="1:16" x14ac:dyDescent="0.35">
      <c r="A19" s="72" t="s">
        <v>61</v>
      </c>
      <c r="C19" s="53" t="s">
        <v>55</v>
      </c>
      <c r="D19" s="53" t="s">
        <v>65</v>
      </c>
      <c r="F19" s="57">
        <v>0</v>
      </c>
      <c r="G19" s="58">
        <v>0</v>
      </c>
      <c r="H19" s="59"/>
      <c r="J19" s="67">
        <v>0</v>
      </c>
      <c r="L19" s="67">
        <v>0</v>
      </c>
    </row>
    <row r="20" spans="1:16" x14ac:dyDescent="0.35">
      <c r="A20" s="72" t="s">
        <v>61</v>
      </c>
      <c r="C20" s="53" t="s">
        <v>106</v>
      </c>
      <c r="D20" s="53" t="s">
        <v>53</v>
      </c>
      <c r="F20" s="57">
        <v>0</v>
      </c>
      <c r="G20" s="58">
        <v>0</v>
      </c>
      <c r="H20" s="59"/>
      <c r="J20" s="67">
        <v>0</v>
      </c>
      <c r="L20" s="67">
        <v>0</v>
      </c>
    </row>
    <row r="21" spans="1:16" x14ac:dyDescent="0.35">
      <c r="A21" s="72" t="s">
        <v>61</v>
      </c>
      <c r="C21" s="53" t="s">
        <v>64</v>
      </c>
      <c r="D21" s="53" t="s">
        <v>65</v>
      </c>
      <c r="F21" s="57">
        <v>0</v>
      </c>
      <c r="G21" s="58">
        <v>0</v>
      </c>
      <c r="H21" s="59"/>
      <c r="J21" s="67">
        <v>0</v>
      </c>
      <c r="L21" s="67">
        <v>0</v>
      </c>
    </row>
    <row r="22" spans="1:16" x14ac:dyDescent="0.35">
      <c r="A22" s="72"/>
      <c r="C22" s="53"/>
      <c r="D22" s="53"/>
      <c r="F22" s="57"/>
      <c r="G22" s="58"/>
      <c r="H22" s="59"/>
      <c r="J22" s="67"/>
      <c r="L22" s="67"/>
    </row>
    <row r="23" spans="1:16" x14ac:dyDescent="0.35">
      <c r="F23" s="220" t="s">
        <v>107</v>
      </c>
      <c r="G23" s="220"/>
      <c r="H23" s="220"/>
      <c r="J23" s="187">
        <f>SUM(J18:J22)</f>
        <v>7440</v>
      </c>
      <c r="L23" s="187">
        <f>SUM(L18:L22)</f>
        <v>7440</v>
      </c>
    </row>
    <row r="24" spans="1:16" x14ac:dyDescent="0.35">
      <c r="F24" s="71"/>
      <c r="G24" s="71"/>
      <c r="H24" s="71"/>
      <c r="J24" s="187"/>
      <c r="L24" s="187"/>
    </row>
    <row r="25" spans="1:16" x14ac:dyDescent="0.35">
      <c r="H25" s="71" t="s">
        <v>66</v>
      </c>
      <c r="J25" s="73">
        <f>J16+J23</f>
        <v>77833.752000000153</v>
      </c>
      <c r="K25" s="74"/>
      <c r="L25" s="73">
        <f>L16+L23</f>
        <v>77833.752000000095</v>
      </c>
      <c r="N25" s="50"/>
      <c r="O25" s="50"/>
      <c r="P25" s="50"/>
    </row>
    <row r="27" spans="1:16" x14ac:dyDescent="0.35">
      <c r="A27" s="221" t="s">
        <v>108</v>
      </c>
      <c r="B27" s="222"/>
      <c r="C27" s="222"/>
      <c r="D27" s="222"/>
      <c r="E27" s="222"/>
      <c r="F27" s="222"/>
      <c r="G27" s="223"/>
    </row>
    <row r="28" spans="1:16" x14ac:dyDescent="0.35">
      <c r="A28" s="188"/>
      <c r="B28" s="189">
        <f>B3</f>
        <v>44044</v>
      </c>
      <c r="C28" s="190" t="s">
        <v>109</v>
      </c>
      <c r="D28" s="191" t="s">
        <v>110</v>
      </c>
      <c r="E28" s="191"/>
      <c r="F28" s="191"/>
      <c r="G28" s="192"/>
    </row>
    <row r="29" spans="1:16" x14ac:dyDescent="0.35">
      <c r="A29" s="193"/>
      <c r="B29" s="203" t="s">
        <v>111</v>
      </c>
      <c r="C29" s="191" t="s">
        <v>112</v>
      </c>
      <c r="D29" s="191" t="s">
        <v>113</v>
      </c>
      <c r="E29" s="224" t="s">
        <v>114</v>
      </c>
      <c r="F29" s="224"/>
      <c r="G29" s="192"/>
    </row>
    <row r="30" spans="1:16" x14ac:dyDescent="0.35">
      <c r="A30" s="199" t="s">
        <v>115</v>
      </c>
      <c r="B30" s="196">
        <v>6.891</v>
      </c>
      <c r="C30" s="197">
        <v>5.9390000000000001</v>
      </c>
      <c r="D30" s="198">
        <f>(B30/C30)-1</f>
        <v>0.16029634618622657</v>
      </c>
      <c r="E30" s="226">
        <f>(4.185*(D30+1))</f>
        <v>4.855840208789358</v>
      </c>
      <c r="F30" s="227"/>
      <c r="G30" s="192"/>
    </row>
    <row r="31" spans="1:16" x14ac:dyDescent="0.35">
      <c r="A31" s="199"/>
      <c r="B31" s="191"/>
      <c r="C31" s="191"/>
      <c r="D31" s="191"/>
      <c r="E31" s="191"/>
      <c r="F31" s="191"/>
      <c r="G31" s="192"/>
    </row>
    <row r="32" spans="1:16" x14ac:dyDescent="0.35">
      <c r="A32" s="200" t="s">
        <v>116</v>
      </c>
      <c r="B32" s="201"/>
      <c r="C32" s="201"/>
      <c r="D32" s="201"/>
      <c r="E32" s="201"/>
      <c r="F32" s="201"/>
      <c r="G32" s="202"/>
    </row>
    <row r="34" spans="1:7" x14ac:dyDescent="0.35">
      <c r="A34" s="72" t="s">
        <v>68</v>
      </c>
      <c r="B34" s="77" t="s">
        <v>117</v>
      </c>
      <c r="C34" s="77"/>
      <c r="D34" s="77"/>
      <c r="E34" s="77"/>
      <c r="F34" s="77"/>
      <c r="G34" s="78"/>
    </row>
    <row r="35" spans="1:7" x14ac:dyDescent="0.35">
      <c r="A35" s="72"/>
      <c r="B35" s="77"/>
      <c r="C35" s="77"/>
      <c r="D35" s="77"/>
      <c r="E35" s="77"/>
      <c r="F35" s="77"/>
      <c r="G35" s="78"/>
    </row>
    <row r="36" spans="1:7" x14ac:dyDescent="0.35">
      <c r="A36" s="72" t="s">
        <v>70</v>
      </c>
      <c r="B36" s="77" t="s">
        <v>69</v>
      </c>
      <c r="C36" s="77"/>
      <c r="D36" s="77"/>
      <c r="E36" s="77"/>
      <c r="F36" s="77"/>
      <c r="G36" s="78"/>
    </row>
    <row r="37" spans="1:7" x14ac:dyDescent="0.35">
      <c r="A37" s="72"/>
      <c r="B37" s="77"/>
      <c r="C37" s="77"/>
      <c r="D37" s="77"/>
      <c r="E37" s="77"/>
      <c r="F37" s="77"/>
      <c r="G37" s="78"/>
    </row>
    <row r="38" spans="1:7" x14ac:dyDescent="0.35">
      <c r="A38" s="72" t="s">
        <v>72</v>
      </c>
      <c r="B38" s="77" t="s">
        <v>71</v>
      </c>
      <c r="C38" s="77"/>
      <c r="D38" s="77"/>
      <c r="E38" s="77"/>
      <c r="F38" s="77"/>
      <c r="G38" s="78"/>
    </row>
    <row r="39" spans="1:7" x14ac:dyDescent="0.35">
      <c r="A39" s="72"/>
    </row>
  </sheetData>
  <mergeCells count="5">
    <mergeCell ref="F16:H16"/>
    <mergeCell ref="F23:H23"/>
    <mergeCell ref="A27:G27"/>
    <mergeCell ref="E29:F29"/>
    <mergeCell ref="E30:F30"/>
  </mergeCells>
  <pageMargins left="0.17" right="0.17" top="0.66" bottom="0.55000000000000004" header="0.24" footer="0.33"/>
  <pageSetup scale="72" fitToHeight="0" orientation="portrait" r:id="rId1"/>
  <headerFooter>
    <oddHeader xml:space="preserve">&amp;RKY PSC CN 2020-00378  
 Staff's Data Request Set 1 No. 5 Attachment C  
</oddHead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2"/>
  <sheetViews>
    <sheetView tabSelected="1" view="pageLayout" zoomScaleNormal="100" workbookViewId="0">
      <selection activeCell="L2" sqref="L2"/>
    </sheetView>
  </sheetViews>
  <sheetFormatPr defaultColWidth="9.1796875" defaultRowHeight="12.5" x14ac:dyDescent="0.25"/>
  <cols>
    <col min="1" max="1" width="9.1796875" style="87" customWidth="1"/>
    <col min="2" max="2" width="10.1796875" style="81" customWidth="1"/>
    <col min="3" max="3" width="11.1796875" style="81" customWidth="1"/>
    <col min="4" max="4" width="9.26953125" style="81" customWidth="1"/>
    <col min="5" max="5" width="10.81640625" style="81" customWidth="1"/>
    <col min="6" max="6" width="13.26953125" style="81" customWidth="1"/>
    <col min="7" max="7" width="13" style="81" customWidth="1"/>
    <col min="8" max="8" width="10.1796875" style="81" customWidth="1"/>
    <col min="9" max="9" width="14.54296875" style="81" customWidth="1"/>
    <col min="10" max="13" width="10.1796875" style="81" customWidth="1"/>
    <col min="14" max="14" width="8.453125" style="81" hidden="1" customWidth="1"/>
    <col min="15" max="15" width="1.453125" style="82" customWidth="1"/>
    <col min="16" max="16" width="11" style="82" hidden="1" customWidth="1"/>
    <col min="17" max="17" width="11.453125" style="82" customWidth="1"/>
    <col min="18" max="16384" width="9.1796875" style="82"/>
  </cols>
  <sheetData>
    <row r="1" spans="1:16" ht="18" x14ac:dyDescent="0.4">
      <c r="A1" s="79" t="s">
        <v>73</v>
      </c>
      <c r="B1" s="80"/>
      <c r="C1" s="80"/>
      <c r="D1" s="80"/>
    </row>
    <row r="2" spans="1:16" ht="18" x14ac:dyDescent="0.4">
      <c r="A2" s="79"/>
      <c r="B2" s="80"/>
      <c r="C2" s="80"/>
      <c r="D2" s="80"/>
    </row>
    <row r="3" spans="1:16" ht="18" x14ac:dyDescent="0.4">
      <c r="A3" s="79" t="s">
        <v>74</v>
      </c>
      <c r="B3" s="83"/>
      <c r="C3" s="84">
        <f>'August 20 TCPS CALC'!C3</f>
        <v>44044</v>
      </c>
      <c r="E3" s="85"/>
      <c r="F3" s="85"/>
      <c r="G3" s="85"/>
      <c r="H3" s="85"/>
      <c r="I3" s="85"/>
      <c r="J3" s="85"/>
      <c r="K3" s="85"/>
      <c r="L3" s="85"/>
      <c r="M3" s="86"/>
    </row>
    <row r="5" spans="1:16" ht="13" thickBot="1" x14ac:dyDescent="0.3"/>
    <row r="6" spans="1:16" ht="13" x14ac:dyDescent="0.3">
      <c r="H6" s="206" t="s">
        <v>75</v>
      </c>
      <c r="I6" s="207"/>
      <c r="J6" s="207"/>
      <c r="K6" s="208" t="s">
        <v>76</v>
      </c>
      <c r="L6" s="209"/>
      <c r="M6" s="210"/>
      <c r="P6" s="81" t="s">
        <v>77</v>
      </c>
    </row>
    <row r="7" spans="1:16" ht="13" x14ac:dyDescent="0.3">
      <c r="A7" s="88" t="s">
        <v>78</v>
      </c>
      <c r="B7" s="211" t="s">
        <v>79</v>
      </c>
      <c r="C7" s="212"/>
      <c r="D7" s="213"/>
      <c r="E7" s="214" t="s">
        <v>80</v>
      </c>
      <c r="F7" s="215"/>
      <c r="G7" s="216"/>
      <c r="H7" s="212" t="s">
        <v>81</v>
      </c>
      <c r="I7" s="212"/>
      <c r="J7" s="212"/>
      <c r="K7" s="217" t="s">
        <v>82</v>
      </c>
      <c r="L7" s="218"/>
      <c r="M7" s="219"/>
      <c r="P7" s="81" t="s">
        <v>83</v>
      </c>
    </row>
    <row r="8" spans="1:16" ht="13" x14ac:dyDescent="0.3">
      <c r="A8" s="89" t="s">
        <v>84</v>
      </c>
      <c r="B8" s="90" t="s">
        <v>85</v>
      </c>
      <c r="C8" s="91" t="s">
        <v>86</v>
      </c>
      <c r="D8" s="92" t="s">
        <v>87</v>
      </c>
      <c r="E8" s="93" t="s">
        <v>85</v>
      </c>
      <c r="F8" s="94" t="s">
        <v>86</v>
      </c>
      <c r="G8" s="95" t="s">
        <v>87</v>
      </c>
      <c r="H8" s="91" t="s">
        <v>85</v>
      </c>
      <c r="I8" s="91" t="s">
        <v>86</v>
      </c>
      <c r="J8" s="91" t="s">
        <v>87</v>
      </c>
      <c r="K8" s="96" t="s">
        <v>85</v>
      </c>
      <c r="L8" s="97" t="s">
        <v>86</v>
      </c>
      <c r="M8" s="98" t="s">
        <v>87</v>
      </c>
      <c r="N8" s="99" t="s">
        <v>84</v>
      </c>
      <c r="P8" s="100" t="s">
        <v>88</v>
      </c>
    </row>
    <row r="9" spans="1:16" ht="13" x14ac:dyDescent="0.3">
      <c r="A9" s="101"/>
      <c r="B9" s="102"/>
      <c r="C9" s="103"/>
      <c r="D9" s="104"/>
      <c r="E9" s="105"/>
      <c r="F9" s="106"/>
      <c r="G9" s="107"/>
      <c r="H9" s="108"/>
      <c r="I9" s="108" t="s">
        <v>89</v>
      </c>
      <c r="J9" s="109"/>
      <c r="K9" s="110"/>
      <c r="L9" s="111"/>
      <c r="M9" s="112"/>
    </row>
    <row r="10" spans="1:16" ht="13" x14ac:dyDescent="0.3">
      <c r="A10" s="87">
        <f>C3</f>
        <v>44044</v>
      </c>
      <c r="B10" s="113">
        <v>1.63</v>
      </c>
      <c r="C10" s="114">
        <v>1.71</v>
      </c>
      <c r="D10" s="115">
        <v>1.8</v>
      </c>
      <c r="E10" s="116">
        <v>1.48</v>
      </c>
      <c r="F10" s="117">
        <v>1.55</v>
      </c>
      <c r="G10" s="118">
        <v>1.75</v>
      </c>
      <c r="H10" s="113">
        <v>1.55</v>
      </c>
      <c r="I10" s="114">
        <v>1.59</v>
      </c>
      <c r="J10" s="115">
        <v>1.74</v>
      </c>
      <c r="K10" s="119">
        <f t="shared" ref="K10:M37" si="0">AVERAGE(B10,E10,H10)</f>
        <v>1.5533333333333335</v>
      </c>
      <c r="L10" s="120">
        <f t="shared" si="0"/>
        <v>1.6166666666666665</v>
      </c>
      <c r="M10" s="121">
        <f t="shared" si="0"/>
        <v>1.7633333333333334</v>
      </c>
      <c r="N10" s="87">
        <f t="shared" ref="N10:N40" si="1">A10</f>
        <v>44044</v>
      </c>
      <c r="P10" s="122">
        <f>H10-E10</f>
        <v>7.0000000000000062E-2</v>
      </c>
    </row>
    <row r="11" spans="1:16" x14ac:dyDescent="0.25">
      <c r="A11" s="87">
        <f>A10+1</f>
        <v>44045</v>
      </c>
      <c r="B11" s="123">
        <f t="shared" ref="B11:B40" si="2">$B$10</f>
        <v>1.63</v>
      </c>
      <c r="C11" s="124">
        <f>$C$10</f>
        <v>1.71</v>
      </c>
      <c r="D11" s="125">
        <f>$D$10</f>
        <v>1.8</v>
      </c>
      <c r="E11" s="116">
        <v>1.48</v>
      </c>
      <c r="F11" s="117">
        <v>1.55</v>
      </c>
      <c r="G11" s="118">
        <v>1.75</v>
      </c>
      <c r="H11" s="126">
        <f t="shared" ref="H11:J12" si="3">H10</f>
        <v>1.55</v>
      </c>
      <c r="I11" s="126">
        <f t="shared" si="3"/>
        <v>1.59</v>
      </c>
      <c r="J11" s="126">
        <f t="shared" si="3"/>
        <v>1.74</v>
      </c>
      <c r="K11" s="119">
        <f t="shared" si="0"/>
        <v>1.5533333333333335</v>
      </c>
      <c r="L11" s="120">
        <f t="shared" si="0"/>
        <v>1.6166666666666665</v>
      </c>
      <c r="M11" s="121">
        <f t="shared" si="0"/>
        <v>1.7633333333333334</v>
      </c>
      <c r="N11" s="127">
        <f t="shared" si="1"/>
        <v>44045</v>
      </c>
      <c r="P11" s="122">
        <f t="shared" ref="P11:P40" si="4">H11-E11</f>
        <v>7.0000000000000062E-2</v>
      </c>
    </row>
    <row r="12" spans="1:16" x14ac:dyDescent="0.25">
      <c r="A12" s="87">
        <f t="shared" ref="A12:A40" si="5">A11+1</f>
        <v>44046</v>
      </c>
      <c r="B12" s="123">
        <f t="shared" si="2"/>
        <v>1.63</v>
      </c>
      <c r="C12" s="124">
        <f t="shared" ref="C12:C40" si="6">$C$10</f>
        <v>1.71</v>
      </c>
      <c r="D12" s="125">
        <f t="shared" ref="D12:D40" si="7">$D$10</f>
        <v>1.8</v>
      </c>
      <c r="E12" s="116">
        <v>1.48</v>
      </c>
      <c r="F12" s="117">
        <v>1.55</v>
      </c>
      <c r="G12" s="118">
        <v>1.75</v>
      </c>
      <c r="H12" s="126">
        <f t="shared" si="3"/>
        <v>1.55</v>
      </c>
      <c r="I12" s="126">
        <f t="shared" si="3"/>
        <v>1.59</v>
      </c>
      <c r="J12" s="126">
        <f t="shared" si="3"/>
        <v>1.74</v>
      </c>
      <c r="K12" s="119">
        <f t="shared" si="0"/>
        <v>1.5533333333333335</v>
      </c>
      <c r="L12" s="120">
        <f t="shared" si="0"/>
        <v>1.6166666666666665</v>
      </c>
      <c r="M12" s="121">
        <f t="shared" si="0"/>
        <v>1.7633333333333334</v>
      </c>
      <c r="N12" s="87">
        <f t="shared" si="1"/>
        <v>44046</v>
      </c>
      <c r="P12" s="122">
        <f t="shared" si="4"/>
        <v>7.0000000000000062E-2</v>
      </c>
    </row>
    <row r="13" spans="1:16" ht="13" x14ac:dyDescent="0.3">
      <c r="A13" s="87">
        <f t="shared" si="5"/>
        <v>44047</v>
      </c>
      <c r="B13" s="123">
        <f t="shared" si="2"/>
        <v>1.63</v>
      </c>
      <c r="C13" s="124">
        <f t="shared" si="6"/>
        <v>1.71</v>
      </c>
      <c r="D13" s="125">
        <f t="shared" si="7"/>
        <v>1.8</v>
      </c>
      <c r="E13" s="116">
        <v>1.605</v>
      </c>
      <c r="F13" s="117">
        <v>1.78</v>
      </c>
      <c r="G13" s="118">
        <v>1.9450000000000001</v>
      </c>
      <c r="H13" s="128">
        <v>1.7</v>
      </c>
      <c r="I13" s="128">
        <v>1.92</v>
      </c>
      <c r="J13" s="128">
        <v>2.09</v>
      </c>
      <c r="K13" s="119">
        <f t="shared" si="0"/>
        <v>1.6449999999999998</v>
      </c>
      <c r="L13" s="120">
        <f t="shared" si="0"/>
        <v>1.8033333333333335</v>
      </c>
      <c r="M13" s="121">
        <f t="shared" si="0"/>
        <v>1.9450000000000001</v>
      </c>
      <c r="N13" s="87">
        <f t="shared" si="1"/>
        <v>44047</v>
      </c>
      <c r="P13" s="122">
        <f t="shared" si="4"/>
        <v>9.4999999999999973E-2</v>
      </c>
    </row>
    <row r="14" spans="1:16" s="134" customFormat="1" x14ac:dyDescent="0.25">
      <c r="A14" s="129">
        <f t="shared" si="5"/>
        <v>44048</v>
      </c>
      <c r="B14" s="123">
        <f t="shared" si="2"/>
        <v>1.63</v>
      </c>
      <c r="C14" s="124">
        <f t="shared" si="6"/>
        <v>1.71</v>
      </c>
      <c r="D14" s="125">
        <f t="shared" si="7"/>
        <v>1.8</v>
      </c>
      <c r="E14" s="116">
        <v>1.73</v>
      </c>
      <c r="F14" s="117">
        <v>1.855</v>
      </c>
      <c r="G14" s="118">
        <v>2.0550000000000002</v>
      </c>
      <c r="H14" s="126">
        <f t="shared" ref="H14:J18" si="8">H13</f>
        <v>1.7</v>
      </c>
      <c r="I14" s="126">
        <f t="shared" si="8"/>
        <v>1.92</v>
      </c>
      <c r="J14" s="126">
        <f t="shared" si="8"/>
        <v>2.09</v>
      </c>
      <c r="K14" s="130">
        <f t="shared" si="0"/>
        <v>1.6866666666666665</v>
      </c>
      <c r="L14" s="131">
        <f t="shared" si="0"/>
        <v>1.8283333333333331</v>
      </c>
      <c r="M14" s="132">
        <f t="shared" si="0"/>
        <v>1.9816666666666667</v>
      </c>
      <c r="N14" s="133">
        <f t="shared" si="1"/>
        <v>44048</v>
      </c>
      <c r="P14" s="135">
        <f t="shared" si="4"/>
        <v>-3.0000000000000027E-2</v>
      </c>
    </row>
    <row r="15" spans="1:16" s="134" customFormat="1" x14ac:dyDescent="0.25">
      <c r="A15" s="129">
        <f t="shared" si="5"/>
        <v>44049</v>
      </c>
      <c r="B15" s="123">
        <f t="shared" si="2"/>
        <v>1.63</v>
      </c>
      <c r="C15" s="124">
        <f t="shared" si="6"/>
        <v>1.71</v>
      </c>
      <c r="D15" s="125">
        <f t="shared" si="7"/>
        <v>1.8</v>
      </c>
      <c r="E15" s="116">
        <v>1.7749999999999999</v>
      </c>
      <c r="F15" s="117">
        <v>1.97</v>
      </c>
      <c r="G15" s="118">
        <v>2.165</v>
      </c>
      <c r="H15" s="126">
        <f t="shared" si="8"/>
        <v>1.7</v>
      </c>
      <c r="I15" s="126">
        <f t="shared" si="8"/>
        <v>1.92</v>
      </c>
      <c r="J15" s="126">
        <f t="shared" si="8"/>
        <v>2.09</v>
      </c>
      <c r="K15" s="130">
        <f t="shared" si="0"/>
        <v>1.7016666666666664</v>
      </c>
      <c r="L15" s="131">
        <f t="shared" si="0"/>
        <v>1.8666666666666665</v>
      </c>
      <c r="M15" s="132">
        <f t="shared" si="0"/>
        <v>2.0183333333333331</v>
      </c>
      <c r="N15" s="133">
        <f t="shared" si="1"/>
        <v>44049</v>
      </c>
      <c r="P15" s="122">
        <f t="shared" si="4"/>
        <v>-7.4999999999999956E-2</v>
      </c>
    </row>
    <row r="16" spans="1:16" s="134" customFormat="1" ht="13" x14ac:dyDescent="0.3">
      <c r="A16" s="129">
        <f t="shared" si="5"/>
        <v>44050</v>
      </c>
      <c r="B16" s="123">
        <f t="shared" si="2"/>
        <v>1.63</v>
      </c>
      <c r="C16" s="124">
        <f t="shared" si="6"/>
        <v>1.71</v>
      </c>
      <c r="D16" s="125">
        <f t="shared" si="7"/>
        <v>1.8</v>
      </c>
      <c r="E16" s="116">
        <v>1.665</v>
      </c>
      <c r="F16" s="117">
        <v>1.91</v>
      </c>
      <c r="G16" s="118">
        <v>2.165</v>
      </c>
      <c r="H16" s="126">
        <f t="shared" si="8"/>
        <v>1.7</v>
      </c>
      <c r="I16" s="126">
        <f t="shared" si="8"/>
        <v>1.92</v>
      </c>
      <c r="J16" s="126">
        <f t="shared" si="8"/>
        <v>2.09</v>
      </c>
      <c r="K16" s="130">
        <f t="shared" si="0"/>
        <v>1.665</v>
      </c>
      <c r="L16" s="131">
        <f t="shared" si="0"/>
        <v>1.8466666666666667</v>
      </c>
      <c r="M16" s="132">
        <f t="shared" si="0"/>
        <v>2.0183333333333331</v>
      </c>
      <c r="N16" s="136">
        <f t="shared" si="1"/>
        <v>44050</v>
      </c>
      <c r="P16" s="122">
        <f t="shared" si="4"/>
        <v>3.499999999999992E-2</v>
      </c>
    </row>
    <row r="17" spans="1:16" s="134" customFormat="1" x14ac:dyDescent="0.25">
      <c r="A17" s="129">
        <f t="shared" si="5"/>
        <v>44051</v>
      </c>
      <c r="B17" s="123">
        <f t="shared" si="2"/>
        <v>1.63</v>
      </c>
      <c r="C17" s="124">
        <f t="shared" si="6"/>
        <v>1.71</v>
      </c>
      <c r="D17" s="125">
        <f t="shared" si="7"/>
        <v>1.8</v>
      </c>
      <c r="E17" s="116">
        <v>1.595</v>
      </c>
      <c r="F17" s="117">
        <v>1.94</v>
      </c>
      <c r="G17" s="118">
        <v>2.1349999999999998</v>
      </c>
      <c r="H17" s="126">
        <f t="shared" si="8"/>
        <v>1.7</v>
      </c>
      <c r="I17" s="126">
        <f t="shared" si="8"/>
        <v>1.92</v>
      </c>
      <c r="J17" s="126">
        <f t="shared" si="8"/>
        <v>2.09</v>
      </c>
      <c r="K17" s="130">
        <f t="shared" si="0"/>
        <v>1.6416666666666666</v>
      </c>
      <c r="L17" s="131">
        <f t="shared" si="0"/>
        <v>1.8566666666666667</v>
      </c>
      <c r="M17" s="132">
        <f t="shared" si="0"/>
        <v>2.0083333333333333</v>
      </c>
      <c r="N17" s="133">
        <f t="shared" si="1"/>
        <v>44051</v>
      </c>
      <c r="P17" s="122">
        <f t="shared" si="4"/>
        <v>0.10499999999999998</v>
      </c>
    </row>
    <row r="18" spans="1:16" s="134" customFormat="1" x14ac:dyDescent="0.25">
      <c r="A18" s="129">
        <f t="shared" si="5"/>
        <v>44052</v>
      </c>
      <c r="B18" s="123">
        <f t="shared" si="2"/>
        <v>1.63</v>
      </c>
      <c r="C18" s="124">
        <f t="shared" si="6"/>
        <v>1.71</v>
      </c>
      <c r="D18" s="125">
        <f t="shared" si="7"/>
        <v>1.8</v>
      </c>
      <c r="E18" s="116">
        <v>1.595</v>
      </c>
      <c r="F18" s="117">
        <v>1.94</v>
      </c>
      <c r="G18" s="118">
        <v>2.1349999999999998</v>
      </c>
      <c r="H18" s="126">
        <f t="shared" si="8"/>
        <v>1.7</v>
      </c>
      <c r="I18" s="126">
        <f t="shared" si="8"/>
        <v>1.92</v>
      </c>
      <c r="J18" s="126">
        <f t="shared" si="8"/>
        <v>2.09</v>
      </c>
      <c r="K18" s="130">
        <f t="shared" si="0"/>
        <v>1.6416666666666666</v>
      </c>
      <c r="L18" s="131">
        <f t="shared" si="0"/>
        <v>1.8566666666666667</v>
      </c>
      <c r="M18" s="132">
        <f t="shared" si="0"/>
        <v>2.0083333333333333</v>
      </c>
      <c r="N18" s="133">
        <f t="shared" si="1"/>
        <v>44052</v>
      </c>
      <c r="P18" s="122">
        <f t="shared" si="4"/>
        <v>0.10499999999999998</v>
      </c>
    </row>
    <row r="19" spans="1:16" s="134" customFormat="1" ht="12" customHeight="1" x14ac:dyDescent="0.25">
      <c r="A19" s="129">
        <f t="shared" si="5"/>
        <v>44053</v>
      </c>
      <c r="B19" s="123">
        <f t="shared" si="2"/>
        <v>1.63</v>
      </c>
      <c r="C19" s="124">
        <f t="shared" si="6"/>
        <v>1.71</v>
      </c>
      <c r="D19" s="125">
        <f t="shared" si="7"/>
        <v>1.8</v>
      </c>
      <c r="E19" s="116">
        <v>1.595</v>
      </c>
      <c r="F19" s="117">
        <v>1.94</v>
      </c>
      <c r="G19" s="118">
        <v>2.1349999999999998</v>
      </c>
      <c r="H19" s="126">
        <f>H18</f>
        <v>1.7</v>
      </c>
      <c r="I19" s="126">
        <f>I18</f>
        <v>1.92</v>
      </c>
      <c r="J19" s="126">
        <f>J18</f>
        <v>2.09</v>
      </c>
      <c r="K19" s="130">
        <f t="shared" si="0"/>
        <v>1.6416666666666666</v>
      </c>
      <c r="L19" s="131">
        <f t="shared" si="0"/>
        <v>1.8566666666666667</v>
      </c>
      <c r="M19" s="132">
        <f t="shared" si="0"/>
        <v>2.0083333333333333</v>
      </c>
      <c r="N19" s="133">
        <f t="shared" si="1"/>
        <v>44053</v>
      </c>
      <c r="P19" s="122">
        <f t="shared" si="4"/>
        <v>0.10499999999999998</v>
      </c>
    </row>
    <row r="20" spans="1:16" s="134" customFormat="1" ht="13" x14ac:dyDescent="0.3">
      <c r="A20" s="129">
        <f t="shared" si="5"/>
        <v>44054</v>
      </c>
      <c r="B20" s="123">
        <f t="shared" si="2"/>
        <v>1.63</v>
      </c>
      <c r="C20" s="124">
        <f t="shared" si="6"/>
        <v>1.71</v>
      </c>
      <c r="D20" s="125">
        <f t="shared" si="7"/>
        <v>1.8</v>
      </c>
      <c r="E20" s="116">
        <v>1.8</v>
      </c>
      <c r="F20" s="117">
        <v>2.0150000000000001</v>
      </c>
      <c r="G20" s="118">
        <v>2.16</v>
      </c>
      <c r="H20" s="128">
        <v>1.88</v>
      </c>
      <c r="I20" s="128">
        <v>2.06</v>
      </c>
      <c r="J20" s="128">
        <v>2.1800000000000002</v>
      </c>
      <c r="K20" s="130">
        <f t="shared" si="0"/>
        <v>1.7699999999999998</v>
      </c>
      <c r="L20" s="131">
        <f t="shared" si="0"/>
        <v>1.9283333333333335</v>
      </c>
      <c r="M20" s="132">
        <f t="shared" si="0"/>
        <v>2.0466666666666669</v>
      </c>
      <c r="N20" s="133">
        <f t="shared" si="1"/>
        <v>44054</v>
      </c>
      <c r="P20" s="135">
        <f>H20-E20</f>
        <v>7.9999999999999849E-2</v>
      </c>
    </row>
    <row r="21" spans="1:16" s="134" customFormat="1" x14ac:dyDescent="0.25">
      <c r="A21" s="129">
        <f t="shared" si="5"/>
        <v>44055</v>
      </c>
      <c r="B21" s="123">
        <f t="shared" si="2"/>
        <v>1.63</v>
      </c>
      <c r="C21" s="124">
        <f t="shared" si="6"/>
        <v>1.71</v>
      </c>
      <c r="D21" s="125">
        <f t="shared" si="7"/>
        <v>1.8</v>
      </c>
      <c r="E21" s="116">
        <v>1.885</v>
      </c>
      <c r="F21" s="117">
        <v>2.0049999999999999</v>
      </c>
      <c r="G21" s="118">
        <v>2.15</v>
      </c>
      <c r="H21" s="126">
        <f t="shared" ref="H21:J26" si="9">H20</f>
        <v>1.88</v>
      </c>
      <c r="I21" s="126">
        <f t="shared" si="9"/>
        <v>2.06</v>
      </c>
      <c r="J21" s="126">
        <f t="shared" si="9"/>
        <v>2.1800000000000002</v>
      </c>
      <c r="K21" s="130">
        <f t="shared" si="0"/>
        <v>1.7983333333333331</v>
      </c>
      <c r="L21" s="131">
        <f t="shared" si="0"/>
        <v>1.925</v>
      </c>
      <c r="M21" s="132">
        <f t="shared" si="0"/>
        <v>2.0433333333333334</v>
      </c>
      <c r="N21" s="133">
        <f t="shared" si="1"/>
        <v>44055</v>
      </c>
      <c r="P21" s="135">
        <f t="shared" si="4"/>
        <v>-5.0000000000001155E-3</v>
      </c>
    </row>
    <row r="22" spans="1:16" s="134" customFormat="1" x14ac:dyDescent="0.25">
      <c r="A22" s="129">
        <f t="shared" si="5"/>
        <v>44056</v>
      </c>
      <c r="B22" s="123">
        <f t="shared" si="2"/>
        <v>1.63</v>
      </c>
      <c r="C22" s="124">
        <f t="shared" si="6"/>
        <v>1.71</v>
      </c>
      <c r="D22" s="125">
        <f t="shared" si="7"/>
        <v>1.8</v>
      </c>
      <c r="E22" s="116">
        <v>1.81</v>
      </c>
      <c r="F22" s="117">
        <v>1.96</v>
      </c>
      <c r="G22" s="118">
        <v>2.0550000000000002</v>
      </c>
      <c r="H22" s="126">
        <f t="shared" si="9"/>
        <v>1.88</v>
      </c>
      <c r="I22" s="126">
        <f t="shared" si="9"/>
        <v>2.06</v>
      </c>
      <c r="J22" s="126">
        <f t="shared" si="9"/>
        <v>2.1800000000000002</v>
      </c>
      <c r="K22" s="130">
        <f t="shared" si="0"/>
        <v>1.7733333333333334</v>
      </c>
      <c r="L22" s="131">
        <f t="shared" si="0"/>
        <v>1.9100000000000001</v>
      </c>
      <c r="M22" s="132">
        <f t="shared" si="0"/>
        <v>2.0116666666666667</v>
      </c>
      <c r="N22" s="133">
        <f t="shared" si="1"/>
        <v>44056</v>
      </c>
      <c r="P22" s="122">
        <f t="shared" si="4"/>
        <v>6.999999999999984E-2</v>
      </c>
    </row>
    <row r="23" spans="1:16" s="134" customFormat="1" ht="13" x14ac:dyDescent="0.3">
      <c r="A23" s="129">
        <f t="shared" si="5"/>
        <v>44057</v>
      </c>
      <c r="B23" s="123">
        <f t="shared" si="2"/>
        <v>1.63</v>
      </c>
      <c r="C23" s="124">
        <f t="shared" si="6"/>
        <v>1.71</v>
      </c>
      <c r="D23" s="125">
        <f t="shared" si="7"/>
        <v>1.8</v>
      </c>
      <c r="E23" s="116">
        <v>1.89</v>
      </c>
      <c r="F23" s="117">
        <v>2.0049999999999999</v>
      </c>
      <c r="G23" s="118">
        <v>2.1</v>
      </c>
      <c r="H23" s="126">
        <f t="shared" si="9"/>
        <v>1.88</v>
      </c>
      <c r="I23" s="126">
        <f t="shared" si="9"/>
        <v>2.06</v>
      </c>
      <c r="J23" s="126">
        <f t="shared" si="9"/>
        <v>2.1800000000000002</v>
      </c>
      <c r="K23" s="130">
        <f t="shared" si="0"/>
        <v>1.7999999999999998</v>
      </c>
      <c r="L23" s="131">
        <f t="shared" si="0"/>
        <v>1.925</v>
      </c>
      <c r="M23" s="132">
        <f t="shared" si="0"/>
        <v>2.0266666666666668</v>
      </c>
      <c r="N23" s="136">
        <f t="shared" si="1"/>
        <v>44057</v>
      </c>
      <c r="P23" s="122">
        <f t="shared" si="4"/>
        <v>-1.0000000000000009E-2</v>
      </c>
    </row>
    <row r="24" spans="1:16" s="134" customFormat="1" x14ac:dyDescent="0.25">
      <c r="A24" s="129">
        <f t="shared" si="5"/>
        <v>44058</v>
      </c>
      <c r="B24" s="123">
        <f t="shared" si="2"/>
        <v>1.63</v>
      </c>
      <c r="C24" s="124">
        <f t="shared" si="6"/>
        <v>1.71</v>
      </c>
      <c r="D24" s="125">
        <f t="shared" si="7"/>
        <v>1.8</v>
      </c>
      <c r="E24" s="116">
        <v>1.9350000000000001</v>
      </c>
      <c r="F24" s="117">
        <v>2.105</v>
      </c>
      <c r="G24" s="118">
        <v>2.2149999999999999</v>
      </c>
      <c r="H24" s="126">
        <f t="shared" si="9"/>
        <v>1.88</v>
      </c>
      <c r="I24" s="126">
        <f t="shared" si="9"/>
        <v>2.06</v>
      </c>
      <c r="J24" s="126">
        <f t="shared" si="9"/>
        <v>2.1800000000000002</v>
      </c>
      <c r="K24" s="130">
        <f>AVERAGE(B24,E24,H24)</f>
        <v>1.8150000000000002</v>
      </c>
      <c r="L24" s="131">
        <f t="shared" si="0"/>
        <v>1.9583333333333333</v>
      </c>
      <c r="M24" s="132">
        <f t="shared" si="0"/>
        <v>2.0649999999999999</v>
      </c>
      <c r="N24" s="133">
        <f t="shared" si="1"/>
        <v>44058</v>
      </c>
      <c r="P24" s="122">
        <f t="shared" si="4"/>
        <v>-5.500000000000016E-2</v>
      </c>
    </row>
    <row r="25" spans="1:16" s="134" customFormat="1" x14ac:dyDescent="0.25">
      <c r="A25" s="129">
        <f t="shared" si="5"/>
        <v>44059</v>
      </c>
      <c r="B25" s="123">
        <f t="shared" si="2"/>
        <v>1.63</v>
      </c>
      <c r="C25" s="124">
        <f t="shared" si="6"/>
        <v>1.71</v>
      </c>
      <c r="D25" s="125">
        <f t="shared" si="7"/>
        <v>1.8</v>
      </c>
      <c r="E25" s="116">
        <v>1.9350000000000001</v>
      </c>
      <c r="F25" s="117">
        <v>2.105</v>
      </c>
      <c r="G25" s="118">
        <v>2.2149999999999999</v>
      </c>
      <c r="H25" s="126">
        <f t="shared" si="9"/>
        <v>1.88</v>
      </c>
      <c r="I25" s="126">
        <f t="shared" si="9"/>
        <v>2.06</v>
      </c>
      <c r="J25" s="126">
        <f t="shared" si="9"/>
        <v>2.1800000000000002</v>
      </c>
      <c r="K25" s="130">
        <f t="shared" si="0"/>
        <v>1.8150000000000002</v>
      </c>
      <c r="L25" s="131">
        <f t="shared" si="0"/>
        <v>1.9583333333333333</v>
      </c>
      <c r="M25" s="132">
        <f t="shared" si="0"/>
        <v>2.0649999999999999</v>
      </c>
      <c r="N25" s="133">
        <f t="shared" si="1"/>
        <v>44059</v>
      </c>
      <c r="P25" s="135">
        <f t="shared" si="4"/>
        <v>-5.500000000000016E-2</v>
      </c>
    </row>
    <row r="26" spans="1:16" s="134" customFormat="1" x14ac:dyDescent="0.25">
      <c r="A26" s="129">
        <f t="shared" si="5"/>
        <v>44060</v>
      </c>
      <c r="B26" s="123">
        <f t="shared" si="2"/>
        <v>1.63</v>
      </c>
      <c r="C26" s="124">
        <f t="shared" si="6"/>
        <v>1.71</v>
      </c>
      <c r="D26" s="125">
        <f t="shared" si="7"/>
        <v>1.8</v>
      </c>
      <c r="E26" s="116">
        <v>1.9350000000000001</v>
      </c>
      <c r="F26" s="117">
        <v>2.105</v>
      </c>
      <c r="G26" s="118">
        <v>2.2149999999999999</v>
      </c>
      <c r="H26" s="126">
        <f t="shared" si="9"/>
        <v>1.88</v>
      </c>
      <c r="I26" s="126">
        <f t="shared" si="9"/>
        <v>2.06</v>
      </c>
      <c r="J26" s="126">
        <f t="shared" si="9"/>
        <v>2.1800000000000002</v>
      </c>
      <c r="K26" s="130">
        <f t="shared" si="0"/>
        <v>1.8150000000000002</v>
      </c>
      <c r="L26" s="131">
        <f t="shared" si="0"/>
        <v>1.9583333333333333</v>
      </c>
      <c r="M26" s="132">
        <f t="shared" si="0"/>
        <v>2.0649999999999999</v>
      </c>
      <c r="N26" s="133">
        <f t="shared" si="1"/>
        <v>44060</v>
      </c>
      <c r="P26" s="122">
        <f t="shared" si="4"/>
        <v>-5.500000000000016E-2</v>
      </c>
    </row>
    <row r="27" spans="1:16" s="134" customFormat="1" ht="13" x14ac:dyDescent="0.3">
      <c r="A27" s="129">
        <f t="shared" si="5"/>
        <v>44061</v>
      </c>
      <c r="B27" s="123">
        <f t="shared" si="2"/>
        <v>1.63</v>
      </c>
      <c r="C27" s="124">
        <f t="shared" si="6"/>
        <v>1.71</v>
      </c>
      <c r="D27" s="125">
        <f t="shared" si="7"/>
        <v>1.8</v>
      </c>
      <c r="E27" s="116">
        <v>1.68</v>
      </c>
      <c r="F27" s="117">
        <v>2.145</v>
      </c>
      <c r="G27" s="118">
        <v>2.29</v>
      </c>
      <c r="H27" s="128">
        <v>1.51</v>
      </c>
      <c r="I27" s="128">
        <v>2.16</v>
      </c>
      <c r="J27" s="128">
        <v>2.3199999999999998</v>
      </c>
      <c r="K27" s="130">
        <f t="shared" si="0"/>
        <v>1.6066666666666665</v>
      </c>
      <c r="L27" s="131">
        <f t="shared" si="0"/>
        <v>2.0050000000000003</v>
      </c>
      <c r="M27" s="132">
        <f t="shared" si="0"/>
        <v>2.1366666666666667</v>
      </c>
      <c r="N27" s="133">
        <f t="shared" si="1"/>
        <v>44061</v>
      </c>
      <c r="P27" s="135">
        <f t="shared" si="4"/>
        <v>-0.16999999999999993</v>
      </c>
    </row>
    <row r="28" spans="1:16" s="134" customFormat="1" x14ac:dyDescent="0.25">
      <c r="A28" s="129">
        <f t="shared" si="5"/>
        <v>44062</v>
      </c>
      <c r="B28" s="123">
        <f t="shared" si="2"/>
        <v>1.63</v>
      </c>
      <c r="C28" s="124">
        <f t="shared" si="6"/>
        <v>1.71</v>
      </c>
      <c r="D28" s="125">
        <f t="shared" si="7"/>
        <v>1.8</v>
      </c>
      <c r="E28" s="116">
        <v>1.68</v>
      </c>
      <c r="F28" s="117">
        <v>2.2400000000000002</v>
      </c>
      <c r="G28" s="118">
        <v>2.36</v>
      </c>
      <c r="H28" s="126">
        <f t="shared" ref="H28:J33" si="10">H27</f>
        <v>1.51</v>
      </c>
      <c r="I28" s="126">
        <f t="shared" si="10"/>
        <v>2.16</v>
      </c>
      <c r="J28" s="126">
        <f t="shared" si="10"/>
        <v>2.3199999999999998</v>
      </c>
      <c r="K28" s="130">
        <f t="shared" si="0"/>
        <v>1.6066666666666665</v>
      </c>
      <c r="L28" s="131">
        <f t="shared" si="0"/>
        <v>2.0366666666666666</v>
      </c>
      <c r="M28" s="132">
        <f t="shared" si="0"/>
        <v>2.16</v>
      </c>
      <c r="N28" s="133">
        <f t="shared" si="1"/>
        <v>44062</v>
      </c>
      <c r="P28" s="135">
        <f t="shared" si="4"/>
        <v>-0.16999999999999993</v>
      </c>
    </row>
    <row r="29" spans="1:16" s="134" customFormat="1" x14ac:dyDescent="0.25">
      <c r="A29" s="129">
        <f t="shared" si="5"/>
        <v>44063</v>
      </c>
      <c r="B29" s="123">
        <f t="shared" si="2"/>
        <v>1.63</v>
      </c>
      <c r="C29" s="124">
        <f t="shared" si="6"/>
        <v>1.71</v>
      </c>
      <c r="D29" s="125">
        <f t="shared" si="7"/>
        <v>1.8</v>
      </c>
      <c r="E29" s="116">
        <v>1.2</v>
      </c>
      <c r="F29" s="117">
        <v>2.2349999999999999</v>
      </c>
      <c r="G29" s="118">
        <v>2.355</v>
      </c>
      <c r="H29" s="126">
        <f t="shared" si="10"/>
        <v>1.51</v>
      </c>
      <c r="I29" s="126">
        <f t="shared" si="10"/>
        <v>2.16</v>
      </c>
      <c r="J29" s="126">
        <f t="shared" si="10"/>
        <v>2.3199999999999998</v>
      </c>
      <c r="K29" s="130">
        <f t="shared" si="0"/>
        <v>1.4466666666666665</v>
      </c>
      <c r="L29" s="131">
        <f t="shared" si="0"/>
        <v>2.0350000000000001</v>
      </c>
      <c r="M29" s="132">
        <f t="shared" si="0"/>
        <v>2.1583333333333332</v>
      </c>
      <c r="N29" s="133">
        <f t="shared" si="1"/>
        <v>44063</v>
      </c>
      <c r="P29" s="122">
        <f t="shared" si="4"/>
        <v>0.31000000000000005</v>
      </c>
    </row>
    <row r="30" spans="1:16" s="134" customFormat="1" ht="13" x14ac:dyDescent="0.3">
      <c r="A30" s="129">
        <f t="shared" si="5"/>
        <v>44064</v>
      </c>
      <c r="B30" s="123">
        <f t="shared" si="2"/>
        <v>1.63</v>
      </c>
      <c r="C30" s="124">
        <f t="shared" si="6"/>
        <v>1.71</v>
      </c>
      <c r="D30" s="125">
        <f t="shared" si="7"/>
        <v>1.8</v>
      </c>
      <c r="E30" s="116">
        <v>1.22</v>
      </c>
      <c r="F30" s="117">
        <v>2.21</v>
      </c>
      <c r="G30" s="118">
        <v>2.3149999999999999</v>
      </c>
      <c r="H30" s="126">
        <f t="shared" si="10"/>
        <v>1.51</v>
      </c>
      <c r="I30" s="126">
        <f t="shared" si="10"/>
        <v>2.16</v>
      </c>
      <c r="J30" s="126">
        <f t="shared" si="10"/>
        <v>2.3199999999999998</v>
      </c>
      <c r="K30" s="130">
        <f t="shared" si="0"/>
        <v>1.4533333333333331</v>
      </c>
      <c r="L30" s="131">
        <f t="shared" si="0"/>
        <v>2.0266666666666668</v>
      </c>
      <c r="M30" s="132">
        <f t="shared" si="0"/>
        <v>2.145</v>
      </c>
      <c r="N30" s="136">
        <f t="shared" si="1"/>
        <v>44064</v>
      </c>
      <c r="P30" s="122">
        <f t="shared" si="4"/>
        <v>0.29000000000000004</v>
      </c>
    </row>
    <row r="31" spans="1:16" s="134" customFormat="1" x14ac:dyDescent="0.25">
      <c r="A31" s="129">
        <f t="shared" si="5"/>
        <v>44065</v>
      </c>
      <c r="B31" s="123">
        <f t="shared" si="2"/>
        <v>1.63</v>
      </c>
      <c r="C31" s="124">
        <f t="shared" si="6"/>
        <v>1.71</v>
      </c>
      <c r="D31" s="125">
        <f t="shared" si="7"/>
        <v>1.8</v>
      </c>
      <c r="E31" s="116">
        <v>1.655</v>
      </c>
      <c r="F31" s="117">
        <v>2.12</v>
      </c>
      <c r="G31" s="118">
        <v>2.25</v>
      </c>
      <c r="H31" s="126">
        <f t="shared" si="10"/>
        <v>1.51</v>
      </c>
      <c r="I31" s="126">
        <f t="shared" si="10"/>
        <v>2.16</v>
      </c>
      <c r="J31" s="126">
        <f t="shared" si="10"/>
        <v>2.3199999999999998</v>
      </c>
      <c r="K31" s="130">
        <f t="shared" si="0"/>
        <v>1.5983333333333334</v>
      </c>
      <c r="L31" s="131">
        <f t="shared" si="0"/>
        <v>1.9966666666666668</v>
      </c>
      <c r="M31" s="132">
        <f t="shared" si="0"/>
        <v>2.1233333333333331</v>
      </c>
      <c r="N31" s="133">
        <f t="shared" si="1"/>
        <v>44065</v>
      </c>
      <c r="P31" s="122">
        <f t="shared" si="4"/>
        <v>-0.14500000000000002</v>
      </c>
    </row>
    <row r="32" spans="1:16" s="134" customFormat="1" x14ac:dyDescent="0.25">
      <c r="A32" s="129">
        <f t="shared" si="5"/>
        <v>44066</v>
      </c>
      <c r="B32" s="123">
        <f t="shared" si="2"/>
        <v>1.63</v>
      </c>
      <c r="C32" s="124">
        <f t="shared" si="6"/>
        <v>1.71</v>
      </c>
      <c r="D32" s="125">
        <f t="shared" si="7"/>
        <v>1.8</v>
      </c>
      <c r="E32" s="116">
        <v>1.655</v>
      </c>
      <c r="F32" s="117">
        <v>2.12</v>
      </c>
      <c r="G32" s="118">
        <v>2.25</v>
      </c>
      <c r="H32" s="126">
        <f t="shared" si="10"/>
        <v>1.51</v>
      </c>
      <c r="I32" s="126">
        <f t="shared" si="10"/>
        <v>2.16</v>
      </c>
      <c r="J32" s="126">
        <f t="shared" si="10"/>
        <v>2.3199999999999998</v>
      </c>
      <c r="K32" s="130">
        <f t="shared" si="0"/>
        <v>1.5983333333333334</v>
      </c>
      <c r="L32" s="131">
        <f t="shared" si="0"/>
        <v>1.9966666666666668</v>
      </c>
      <c r="M32" s="132">
        <f t="shared" si="0"/>
        <v>2.1233333333333331</v>
      </c>
      <c r="N32" s="133">
        <f t="shared" si="1"/>
        <v>44066</v>
      </c>
      <c r="P32" s="122">
        <f t="shared" si="4"/>
        <v>-0.14500000000000002</v>
      </c>
    </row>
    <row r="33" spans="1:16" s="134" customFormat="1" x14ac:dyDescent="0.25">
      <c r="A33" s="129">
        <f t="shared" si="5"/>
        <v>44067</v>
      </c>
      <c r="B33" s="123">
        <f t="shared" si="2"/>
        <v>1.63</v>
      </c>
      <c r="C33" s="124">
        <f t="shared" si="6"/>
        <v>1.71</v>
      </c>
      <c r="D33" s="125">
        <f t="shared" si="7"/>
        <v>1.8</v>
      </c>
      <c r="E33" s="116">
        <v>1.655</v>
      </c>
      <c r="F33" s="117">
        <v>2.12</v>
      </c>
      <c r="G33" s="118">
        <v>2.25</v>
      </c>
      <c r="H33" s="126">
        <f t="shared" si="10"/>
        <v>1.51</v>
      </c>
      <c r="I33" s="126">
        <f t="shared" si="10"/>
        <v>2.16</v>
      </c>
      <c r="J33" s="126">
        <f t="shared" si="10"/>
        <v>2.3199999999999998</v>
      </c>
      <c r="K33" s="130">
        <f t="shared" si="0"/>
        <v>1.5983333333333334</v>
      </c>
      <c r="L33" s="131">
        <f t="shared" si="0"/>
        <v>1.9966666666666668</v>
      </c>
      <c r="M33" s="132">
        <f t="shared" si="0"/>
        <v>2.1233333333333331</v>
      </c>
      <c r="N33" s="133">
        <f t="shared" si="1"/>
        <v>44067</v>
      </c>
      <c r="P33" s="122">
        <f t="shared" si="4"/>
        <v>-0.14500000000000002</v>
      </c>
    </row>
    <row r="34" spans="1:16" s="134" customFormat="1" ht="13" x14ac:dyDescent="0.3">
      <c r="A34" s="129">
        <f t="shared" si="5"/>
        <v>44068</v>
      </c>
      <c r="B34" s="123">
        <f t="shared" si="2"/>
        <v>1.63</v>
      </c>
      <c r="C34" s="124">
        <f t="shared" si="6"/>
        <v>1.71</v>
      </c>
      <c r="D34" s="125">
        <f t="shared" si="7"/>
        <v>1.8</v>
      </c>
      <c r="E34" s="116">
        <v>1.9950000000000001</v>
      </c>
      <c r="F34" s="117">
        <v>2.35</v>
      </c>
      <c r="G34" s="118">
        <v>2.48</v>
      </c>
      <c r="H34" s="128">
        <v>1.6</v>
      </c>
      <c r="I34" s="128">
        <v>2.16</v>
      </c>
      <c r="J34" s="128">
        <v>2.4900000000000002</v>
      </c>
      <c r="K34" s="130">
        <f t="shared" si="0"/>
        <v>1.7416666666666665</v>
      </c>
      <c r="L34" s="131">
        <f t="shared" si="0"/>
        <v>2.0733333333333337</v>
      </c>
      <c r="M34" s="132">
        <f t="shared" si="0"/>
        <v>2.2566666666666668</v>
      </c>
      <c r="N34" s="133">
        <f t="shared" si="1"/>
        <v>44068</v>
      </c>
      <c r="P34" s="135">
        <f t="shared" si="4"/>
        <v>-0.39500000000000002</v>
      </c>
    </row>
    <row r="35" spans="1:16" s="134" customFormat="1" x14ac:dyDescent="0.25">
      <c r="A35" s="129">
        <f t="shared" si="5"/>
        <v>44069</v>
      </c>
      <c r="B35" s="123">
        <f t="shared" si="2"/>
        <v>1.63</v>
      </c>
      <c r="C35" s="124">
        <f t="shared" si="6"/>
        <v>1.71</v>
      </c>
      <c r="D35" s="125">
        <f t="shared" si="7"/>
        <v>1.8</v>
      </c>
      <c r="E35" s="116">
        <v>1.9650000000000001</v>
      </c>
      <c r="F35" s="117">
        <v>2.2450000000000001</v>
      </c>
      <c r="G35" s="118">
        <v>2.46</v>
      </c>
      <c r="H35" s="126">
        <f t="shared" ref="H35:J40" si="11">H34</f>
        <v>1.6</v>
      </c>
      <c r="I35" s="126">
        <f t="shared" si="11"/>
        <v>2.16</v>
      </c>
      <c r="J35" s="126">
        <f t="shared" si="11"/>
        <v>2.4900000000000002</v>
      </c>
      <c r="K35" s="130">
        <f t="shared" si="0"/>
        <v>1.7316666666666667</v>
      </c>
      <c r="L35" s="131">
        <f t="shared" si="0"/>
        <v>2.0383333333333336</v>
      </c>
      <c r="M35" s="132">
        <f t="shared" si="0"/>
        <v>2.25</v>
      </c>
      <c r="N35" s="133">
        <f t="shared" si="1"/>
        <v>44069</v>
      </c>
      <c r="P35" s="135">
        <f t="shared" si="4"/>
        <v>-0.36499999999999999</v>
      </c>
    </row>
    <row r="36" spans="1:16" x14ac:dyDescent="0.25">
      <c r="A36" s="87">
        <f t="shared" si="5"/>
        <v>44070</v>
      </c>
      <c r="B36" s="123">
        <f t="shared" si="2"/>
        <v>1.63</v>
      </c>
      <c r="C36" s="124">
        <f t="shared" si="6"/>
        <v>1.71</v>
      </c>
      <c r="D36" s="125">
        <f t="shared" si="7"/>
        <v>1.8</v>
      </c>
      <c r="E36" s="116">
        <v>1.925</v>
      </c>
      <c r="F36" s="117">
        <v>2.0950000000000002</v>
      </c>
      <c r="G36" s="118">
        <v>2.4849999999999999</v>
      </c>
      <c r="H36" s="126">
        <f t="shared" si="11"/>
        <v>1.6</v>
      </c>
      <c r="I36" s="126">
        <f t="shared" si="11"/>
        <v>2.16</v>
      </c>
      <c r="J36" s="126">
        <f t="shared" si="11"/>
        <v>2.4900000000000002</v>
      </c>
      <c r="K36" s="130">
        <f t="shared" si="0"/>
        <v>1.718333333333333</v>
      </c>
      <c r="L36" s="120">
        <f t="shared" si="0"/>
        <v>1.9883333333333333</v>
      </c>
      <c r="M36" s="121">
        <f t="shared" si="0"/>
        <v>2.2583333333333333</v>
      </c>
      <c r="N36" s="133">
        <f t="shared" si="1"/>
        <v>44070</v>
      </c>
      <c r="P36" s="122">
        <f>H36-E36</f>
        <v>-0.32499999999999996</v>
      </c>
    </row>
    <row r="37" spans="1:16" ht="13" x14ac:dyDescent="0.3">
      <c r="A37" s="87">
        <f t="shared" si="5"/>
        <v>44071</v>
      </c>
      <c r="B37" s="123">
        <f t="shared" si="2"/>
        <v>1.63</v>
      </c>
      <c r="C37" s="124">
        <f t="shared" si="6"/>
        <v>1.71</v>
      </c>
      <c r="D37" s="125">
        <f t="shared" si="7"/>
        <v>1.8</v>
      </c>
      <c r="E37" s="116">
        <v>1.415</v>
      </c>
      <c r="F37" s="117">
        <v>2.125</v>
      </c>
      <c r="G37" s="118">
        <v>2.54</v>
      </c>
      <c r="H37" s="126">
        <f t="shared" si="11"/>
        <v>1.6</v>
      </c>
      <c r="I37" s="126">
        <f t="shared" si="11"/>
        <v>2.16</v>
      </c>
      <c r="J37" s="126">
        <f t="shared" si="11"/>
        <v>2.4900000000000002</v>
      </c>
      <c r="K37" s="130">
        <f t="shared" si="0"/>
        <v>1.5483333333333331</v>
      </c>
      <c r="L37" s="120">
        <f t="shared" si="0"/>
        <v>1.9983333333333333</v>
      </c>
      <c r="M37" s="121">
        <f t="shared" si="0"/>
        <v>2.2766666666666668</v>
      </c>
      <c r="N37" s="136">
        <f t="shared" si="1"/>
        <v>44071</v>
      </c>
      <c r="P37" s="122">
        <f t="shared" si="4"/>
        <v>0.18500000000000005</v>
      </c>
    </row>
    <row r="38" spans="1:16" s="134" customFormat="1" x14ac:dyDescent="0.25">
      <c r="A38" s="129">
        <f t="shared" si="5"/>
        <v>44072</v>
      </c>
      <c r="B38" s="123">
        <f t="shared" si="2"/>
        <v>1.63</v>
      </c>
      <c r="C38" s="124">
        <f t="shared" si="6"/>
        <v>1.71</v>
      </c>
      <c r="D38" s="125">
        <f t="shared" si="7"/>
        <v>1.8</v>
      </c>
      <c r="E38" s="116">
        <v>1.52</v>
      </c>
      <c r="F38" s="117">
        <v>2.04</v>
      </c>
      <c r="G38" s="118">
        <v>2.4900000000000002</v>
      </c>
      <c r="H38" s="126">
        <f t="shared" si="11"/>
        <v>1.6</v>
      </c>
      <c r="I38" s="126">
        <f t="shared" si="11"/>
        <v>2.16</v>
      </c>
      <c r="J38" s="126">
        <f t="shared" si="11"/>
        <v>2.4900000000000002</v>
      </c>
      <c r="K38" s="130">
        <f t="shared" ref="K38:M40" si="12">AVERAGE(B38,E38,H38)</f>
        <v>1.5833333333333333</v>
      </c>
      <c r="L38" s="131">
        <f t="shared" si="12"/>
        <v>1.97</v>
      </c>
      <c r="M38" s="132">
        <f t="shared" si="12"/>
        <v>2.2600000000000002</v>
      </c>
      <c r="N38" s="133">
        <f t="shared" si="1"/>
        <v>44072</v>
      </c>
      <c r="P38" s="135">
        <f t="shared" si="4"/>
        <v>8.0000000000000071E-2</v>
      </c>
    </row>
    <row r="39" spans="1:16" ht="13" x14ac:dyDescent="0.3">
      <c r="A39" s="87">
        <f t="shared" si="5"/>
        <v>44073</v>
      </c>
      <c r="B39" s="123">
        <f t="shared" si="2"/>
        <v>1.63</v>
      </c>
      <c r="C39" s="124">
        <f t="shared" si="6"/>
        <v>1.71</v>
      </c>
      <c r="D39" s="125">
        <f t="shared" si="7"/>
        <v>1.8</v>
      </c>
      <c r="E39" s="116">
        <v>1.52</v>
      </c>
      <c r="F39" s="117">
        <v>2.04</v>
      </c>
      <c r="G39" s="118">
        <v>2.4900000000000002</v>
      </c>
      <c r="H39" s="126">
        <f t="shared" si="11"/>
        <v>1.6</v>
      </c>
      <c r="I39" s="126">
        <f t="shared" si="11"/>
        <v>2.16</v>
      </c>
      <c r="J39" s="126">
        <f t="shared" si="11"/>
        <v>2.4900000000000002</v>
      </c>
      <c r="K39" s="130">
        <f t="shared" si="12"/>
        <v>1.5833333333333333</v>
      </c>
      <c r="L39" s="120">
        <f t="shared" si="12"/>
        <v>1.97</v>
      </c>
      <c r="M39" s="121">
        <f t="shared" si="12"/>
        <v>2.2600000000000002</v>
      </c>
      <c r="N39" s="136">
        <f t="shared" si="1"/>
        <v>44073</v>
      </c>
      <c r="P39" s="122">
        <f t="shared" si="4"/>
        <v>8.0000000000000071E-2</v>
      </c>
    </row>
    <row r="40" spans="1:16" ht="13" x14ac:dyDescent="0.3">
      <c r="A40" s="87">
        <f t="shared" si="5"/>
        <v>44074</v>
      </c>
      <c r="B40" s="123">
        <f t="shared" si="2"/>
        <v>1.63</v>
      </c>
      <c r="C40" s="124">
        <f t="shared" si="6"/>
        <v>1.71</v>
      </c>
      <c r="D40" s="125">
        <f t="shared" si="7"/>
        <v>1.8</v>
      </c>
      <c r="E40" s="116">
        <v>1.52</v>
      </c>
      <c r="F40" s="117">
        <v>2.04</v>
      </c>
      <c r="G40" s="118">
        <v>2.4900000000000002</v>
      </c>
      <c r="H40" s="126">
        <f t="shared" si="11"/>
        <v>1.6</v>
      </c>
      <c r="I40" s="126">
        <f t="shared" si="11"/>
        <v>2.16</v>
      </c>
      <c r="J40" s="126">
        <f t="shared" si="11"/>
        <v>2.4900000000000002</v>
      </c>
      <c r="K40" s="130">
        <f t="shared" si="12"/>
        <v>1.5833333333333333</v>
      </c>
      <c r="L40" s="120">
        <f t="shared" si="12"/>
        <v>1.97</v>
      </c>
      <c r="M40" s="121">
        <f t="shared" si="12"/>
        <v>2.2600000000000002</v>
      </c>
      <c r="N40" s="136">
        <f t="shared" si="1"/>
        <v>44074</v>
      </c>
      <c r="P40" s="122">
        <f t="shared" si="4"/>
        <v>8.0000000000000071E-2</v>
      </c>
    </row>
    <row r="41" spans="1:16" x14ac:dyDescent="0.25">
      <c r="B41" s="123"/>
      <c r="C41" s="124"/>
      <c r="D41" s="125"/>
      <c r="E41" s="137"/>
      <c r="F41" s="138"/>
      <c r="G41" s="139"/>
      <c r="H41" s="137"/>
      <c r="I41" s="138"/>
      <c r="J41" s="139"/>
      <c r="K41" s="119"/>
      <c r="L41" s="120"/>
      <c r="M41" s="121"/>
    </row>
    <row r="42" spans="1:16" s="134" customFormat="1" ht="13" x14ac:dyDescent="0.3">
      <c r="A42" s="140" t="s">
        <v>90</v>
      </c>
      <c r="B42" s="141">
        <f t="shared" ref="B42:M42" si="13">AVERAGE(B10:B40)</f>
        <v>1.6300000000000006</v>
      </c>
      <c r="C42" s="141">
        <f t="shared" si="13"/>
        <v>1.7100000000000006</v>
      </c>
      <c r="D42" s="141">
        <f t="shared" si="13"/>
        <v>1.7999999999999989</v>
      </c>
      <c r="E42" s="141">
        <f t="shared" si="13"/>
        <v>1.6708064516129035</v>
      </c>
      <c r="F42" s="141">
        <f t="shared" si="13"/>
        <v>2.0132258064516129</v>
      </c>
      <c r="G42" s="141">
        <f t="shared" si="13"/>
        <v>2.2129032258064512</v>
      </c>
      <c r="H42" s="141">
        <f t="shared" si="13"/>
        <v>1.6606451612903224</v>
      </c>
      <c r="I42" s="141">
        <f t="shared" si="13"/>
        <v>2.0280645161290307</v>
      </c>
      <c r="J42" s="141">
        <f t="shared" si="13"/>
        <v>2.2187096774193549</v>
      </c>
      <c r="K42" s="141">
        <f t="shared" si="13"/>
        <v>1.6538172043010759</v>
      </c>
      <c r="L42" s="141">
        <f t="shared" si="13"/>
        <v>1.9170967741935485</v>
      </c>
      <c r="M42" s="141">
        <f t="shared" si="13"/>
        <v>2.0772043010752688</v>
      </c>
      <c r="N42" s="142"/>
    </row>
    <row r="43" spans="1:16" x14ac:dyDescent="0.25">
      <c r="B43" s="143"/>
      <c r="C43" s="143"/>
      <c r="D43" s="143"/>
      <c r="E43" s="143"/>
      <c r="F43" s="143"/>
      <c r="G43" s="143"/>
      <c r="H43" s="143"/>
      <c r="I43" s="143"/>
      <c r="J43" s="143"/>
      <c r="K43" s="144"/>
      <c r="L43" s="145"/>
    </row>
    <row r="44" spans="1:16" x14ac:dyDescent="0.25">
      <c r="B44" s="143"/>
      <c r="C44" s="143"/>
      <c r="D44" s="143"/>
      <c r="E44" s="143"/>
      <c r="F44" s="143"/>
      <c r="G44" s="176"/>
      <c r="H44" s="177"/>
      <c r="I44" s="176"/>
      <c r="J44" s="143"/>
      <c r="K44" s="144"/>
      <c r="L44" s="145"/>
    </row>
    <row r="45" spans="1:16" x14ac:dyDescent="0.25">
      <c r="B45" s="143"/>
      <c r="C45" s="143"/>
      <c r="D45" s="143"/>
      <c r="E45" s="143"/>
      <c r="F45" s="143"/>
      <c r="G45" s="143"/>
      <c r="H45" s="143"/>
      <c r="I45" s="143"/>
      <c r="J45" s="143"/>
      <c r="K45" s="144"/>
      <c r="L45" s="145"/>
    </row>
    <row r="46" spans="1:16" x14ac:dyDescent="0.25">
      <c r="B46" s="143"/>
      <c r="C46" s="143"/>
      <c r="D46" s="143"/>
      <c r="E46" s="143"/>
      <c r="F46" s="143"/>
      <c r="G46" s="143"/>
      <c r="H46" s="143"/>
      <c r="I46" s="143"/>
      <c r="J46" s="143"/>
      <c r="K46" s="144"/>
      <c r="L46" s="145"/>
    </row>
    <row r="47" spans="1:16" x14ac:dyDescent="0.25">
      <c r="B47" s="143"/>
      <c r="C47" s="143"/>
      <c r="D47" s="143"/>
      <c r="E47" s="143"/>
      <c r="F47" s="143"/>
      <c r="G47" s="143"/>
      <c r="H47" s="143"/>
      <c r="I47" s="143"/>
      <c r="J47" s="143"/>
      <c r="K47" s="144"/>
      <c r="L47" s="145"/>
    </row>
    <row r="48" spans="1:16" ht="13" x14ac:dyDescent="0.3">
      <c r="A48" s="147" t="s">
        <v>91</v>
      </c>
      <c r="B48" s="148"/>
      <c r="C48" s="148"/>
      <c r="D48" s="148"/>
      <c r="E48" s="148"/>
      <c r="F48" s="148"/>
      <c r="G48" s="148"/>
      <c r="H48" s="148"/>
      <c r="I48" s="148"/>
      <c r="J48" s="149"/>
      <c r="K48" s="144"/>
      <c r="L48" s="145"/>
    </row>
    <row r="49" spans="1:17" x14ac:dyDescent="0.25">
      <c r="A49" s="150"/>
      <c r="B49" s="120"/>
      <c r="C49" s="120"/>
      <c r="D49" s="120"/>
      <c r="E49" s="120"/>
      <c r="F49" s="120"/>
      <c r="G49" s="120"/>
      <c r="H49" s="120"/>
      <c r="I49" s="120"/>
      <c r="J49" s="151"/>
      <c r="K49" s="144"/>
      <c r="L49" s="145"/>
    </row>
    <row r="50" spans="1:17" ht="14" x14ac:dyDescent="0.3">
      <c r="A50" s="152"/>
      <c r="B50" s="153"/>
      <c r="C50" s="153"/>
      <c r="D50" s="153"/>
      <c r="E50" s="154" t="s">
        <v>92</v>
      </c>
      <c r="F50" s="154" t="s">
        <v>92</v>
      </c>
      <c r="G50" s="154" t="s">
        <v>93</v>
      </c>
      <c r="H50" s="153"/>
      <c r="I50" s="153"/>
      <c r="J50" s="155"/>
      <c r="L50" s="145"/>
      <c r="M50" s="156"/>
    </row>
    <row r="51" spans="1:17" ht="15" customHeight="1" x14ac:dyDescent="0.3">
      <c r="A51" s="152"/>
      <c r="B51" s="157" t="s">
        <v>42</v>
      </c>
      <c r="C51" s="157" t="s">
        <v>94</v>
      </c>
      <c r="D51" s="153"/>
      <c r="E51" s="157" t="s">
        <v>95</v>
      </c>
      <c r="F51" s="157" t="s">
        <v>96</v>
      </c>
      <c r="G51" s="157" t="s">
        <v>96</v>
      </c>
      <c r="H51" s="205" t="s">
        <v>97</v>
      </c>
      <c r="I51" s="205"/>
      <c r="J51" s="155"/>
      <c r="K51" s="158"/>
      <c r="L51" s="159"/>
      <c r="M51" s="156"/>
    </row>
    <row r="52" spans="1:17" ht="15" customHeight="1" x14ac:dyDescent="0.3">
      <c r="A52" s="152"/>
      <c r="B52" s="153" t="s">
        <v>55</v>
      </c>
      <c r="C52" s="153" t="s">
        <v>98</v>
      </c>
      <c r="D52" s="153"/>
      <c r="E52" s="160">
        <f>1811700-77500</f>
        <v>1734200</v>
      </c>
      <c r="F52" s="161">
        <f>2957636.75-132525</f>
        <v>2825111.75</v>
      </c>
      <c r="G52" s="162">
        <f>E52*$K$42</f>
        <v>2868049.7956989259</v>
      </c>
      <c r="H52" s="153"/>
      <c r="I52" s="163">
        <f>G52-F52</f>
        <v>42938.045698925853</v>
      </c>
      <c r="J52" s="155"/>
      <c r="L52" s="145"/>
      <c r="M52" s="156"/>
    </row>
    <row r="53" spans="1:17" ht="14" x14ac:dyDescent="0.3">
      <c r="A53" s="152"/>
      <c r="B53" s="153" t="s">
        <v>62</v>
      </c>
      <c r="C53" s="153" t="s">
        <v>99</v>
      </c>
      <c r="D53" s="153"/>
      <c r="E53" s="160">
        <v>0</v>
      </c>
      <c r="F53" s="161">
        <v>0</v>
      </c>
      <c r="G53" s="162">
        <f>E53*$L$42</f>
        <v>0</v>
      </c>
      <c r="H53" s="153"/>
      <c r="I53" s="163">
        <f t="shared" ref="I53:I54" si="14">G53-F53</f>
        <v>0</v>
      </c>
      <c r="J53" s="155"/>
      <c r="L53" s="145"/>
      <c r="M53" s="156"/>
    </row>
    <row r="54" spans="1:17" s="81" customFormat="1" ht="14" x14ac:dyDescent="0.3">
      <c r="A54" s="152"/>
      <c r="B54" s="153" t="s">
        <v>100</v>
      </c>
      <c r="C54" s="153">
        <v>500</v>
      </c>
      <c r="D54" s="153"/>
      <c r="E54" s="160">
        <v>0</v>
      </c>
      <c r="F54" s="161">
        <v>0</v>
      </c>
      <c r="G54" s="162">
        <f>E54*$M$42</f>
        <v>0</v>
      </c>
      <c r="H54" s="153"/>
      <c r="I54" s="163">
        <f t="shared" si="14"/>
        <v>0</v>
      </c>
      <c r="J54" s="155"/>
      <c r="L54" s="145"/>
      <c r="M54" s="156"/>
      <c r="O54" s="82"/>
      <c r="P54" s="82"/>
      <c r="Q54" s="82"/>
    </row>
    <row r="55" spans="1:17" s="81" customFormat="1" ht="14.5" thickBot="1" x14ac:dyDescent="0.35">
      <c r="A55" s="152"/>
      <c r="B55" s="153"/>
      <c r="C55" s="153"/>
      <c r="D55" s="153"/>
      <c r="E55" s="160"/>
      <c r="F55" s="161"/>
      <c r="G55" s="153"/>
      <c r="H55" s="153"/>
      <c r="I55" s="153"/>
      <c r="J55" s="155"/>
      <c r="L55" s="145"/>
      <c r="M55" s="156"/>
      <c r="O55" s="82"/>
      <c r="P55" s="82"/>
      <c r="Q55" s="82"/>
    </row>
    <row r="56" spans="1:17" s="81" customFormat="1" ht="14.5" thickBot="1" x14ac:dyDescent="0.35">
      <c r="A56" s="152"/>
      <c r="B56" s="153"/>
      <c r="C56" s="153"/>
      <c r="D56" s="153"/>
      <c r="E56" s="160"/>
      <c r="F56" s="161"/>
      <c r="G56" s="153"/>
      <c r="H56" s="164"/>
      <c r="I56" s="165">
        <f>SUM(I52:I55)</f>
        <v>42938.045698925853</v>
      </c>
      <c r="J56" s="155"/>
      <c r="L56" s="145"/>
      <c r="M56" s="156"/>
      <c r="O56" s="82"/>
      <c r="P56" s="82"/>
      <c r="Q56" s="82"/>
    </row>
    <row r="57" spans="1:17" s="81" customFormat="1" ht="14" x14ac:dyDescent="0.3">
      <c r="A57" s="166"/>
      <c r="B57" s="167"/>
      <c r="C57" s="167"/>
      <c r="D57" s="167"/>
      <c r="E57" s="168"/>
      <c r="F57" s="167"/>
      <c r="G57" s="167"/>
      <c r="H57" s="167"/>
      <c r="I57" s="167"/>
      <c r="J57" s="169"/>
      <c r="L57" s="145"/>
      <c r="M57" s="156"/>
      <c r="O57" s="82"/>
      <c r="P57" s="82"/>
      <c r="Q57" s="82"/>
    </row>
    <row r="58" spans="1:17" s="81" customFormat="1" ht="14" x14ac:dyDescent="0.3">
      <c r="A58" s="87"/>
      <c r="L58" s="145"/>
      <c r="M58" s="156"/>
      <c r="O58" s="82"/>
      <c r="P58" s="82"/>
      <c r="Q58" s="82"/>
    </row>
    <row r="59" spans="1:17" s="81" customFormat="1" ht="14" x14ac:dyDescent="0.3">
      <c r="A59" s="170"/>
      <c r="L59" s="145"/>
      <c r="M59" s="156"/>
      <c r="O59" s="82"/>
      <c r="P59" s="82"/>
      <c r="Q59" s="82"/>
    </row>
    <row r="60" spans="1:17" s="81" customFormat="1" ht="14" x14ac:dyDescent="0.3">
      <c r="A60" s="87"/>
      <c r="L60" s="145"/>
      <c r="M60" s="156"/>
      <c r="O60" s="82"/>
      <c r="P60" s="82"/>
      <c r="Q60" s="82"/>
    </row>
    <row r="61" spans="1:17" s="81" customFormat="1" x14ac:dyDescent="0.25">
      <c r="A61" s="87"/>
      <c r="B61" s="143"/>
      <c r="C61" s="143"/>
      <c r="D61" s="143"/>
      <c r="E61" s="143"/>
      <c r="F61" s="143"/>
      <c r="G61" s="143"/>
      <c r="H61" s="143"/>
      <c r="I61" s="143"/>
      <c r="J61" s="143"/>
      <c r="K61" s="144"/>
      <c r="L61" s="145"/>
      <c r="O61" s="82"/>
      <c r="P61" s="82"/>
      <c r="Q61" s="82"/>
    </row>
    <row r="62" spans="1:17" s="81" customFormat="1" ht="13" x14ac:dyDescent="0.3">
      <c r="A62" s="147" t="s">
        <v>101</v>
      </c>
      <c r="B62" s="148"/>
      <c r="C62" s="148"/>
      <c r="D62" s="148"/>
      <c r="E62" s="148"/>
      <c r="F62" s="148"/>
      <c r="G62" s="148"/>
      <c r="H62" s="148"/>
      <c r="I62" s="148"/>
      <c r="J62" s="149"/>
      <c r="K62" s="144"/>
      <c r="L62" s="145"/>
      <c r="O62" s="82"/>
      <c r="P62" s="82"/>
      <c r="Q62" s="82"/>
    </row>
    <row r="63" spans="1:17" s="81" customFormat="1" x14ac:dyDescent="0.25">
      <c r="A63" s="150"/>
      <c r="B63" s="120"/>
      <c r="C63" s="120"/>
      <c r="D63" s="120"/>
      <c r="E63" s="120"/>
      <c r="F63" s="120"/>
      <c r="G63" s="120"/>
      <c r="H63" s="120"/>
      <c r="I63" s="120"/>
      <c r="J63" s="151"/>
      <c r="K63" s="144"/>
      <c r="L63" s="145"/>
      <c r="O63" s="82"/>
      <c r="P63" s="82"/>
      <c r="Q63" s="82"/>
    </row>
    <row r="64" spans="1:17" s="81" customFormat="1" ht="13" x14ac:dyDescent="0.3">
      <c r="A64" s="152"/>
      <c r="B64" s="153"/>
      <c r="C64" s="153"/>
      <c r="D64" s="153"/>
      <c r="E64" s="154" t="s">
        <v>92</v>
      </c>
      <c r="F64" s="154" t="s">
        <v>92</v>
      </c>
      <c r="G64" s="154" t="s">
        <v>93</v>
      </c>
      <c r="H64" s="153"/>
      <c r="I64" s="153"/>
      <c r="J64" s="155"/>
      <c r="L64" s="145"/>
      <c r="M64" s="171"/>
      <c r="O64" s="82"/>
      <c r="P64" s="82"/>
      <c r="Q64" s="82"/>
    </row>
    <row r="65" spans="1:17" s="81" customFormat="1" ht="13" x14ac:dyDescent="0.3">
      <c r="A65" s="152"/>
      <c r="B65" s="157" t="s">
        <v>42</v>
      </c>
      <c r="C65" s="157" t="s">
        <v>94</v>
      </c>
      <c r="D65" s="153"/>
      <c r="E65" s="157" t="s">
        <v>95</v>
      </c>
      <c r="F65" s="157" t="s">
        <v>96</v>
      </c>
      <c r="G65" s="157" t="s">
        <v>96</v>
      </c>
      <c r="H65" s="205" t="s">
        <v>97</v>
      </c>
      <c r="I65" s="205"/>
      <c r="J65" s="155"/>
      <c r="L65" s="145"/>
      <c r="O65" s="82"/>
      <c r="P65" s="82"/>
      <c r="Q65" s="82"/>
    </row>
    <row r="66" spans="1:17" x14ac:dyDescent="0.25">
      <c r="A66" s="152"/>
      <c r="B66" s="153" t="s">
        <v>55</v>
      </c>
      <c r="C66" s="153" t="s">
        <v>98</v>
      </c>
      <c r="D66" s="153"/>
      <c r="E66" s="160">
        <f>1811700-77500</f>
        <v>1734200</v>
      </c>
      <c r="F66" s="161">
        <f>2961821.75-136710</f>
        <v>2825111.75</v>
      </c>
      <c r="G66" s="162">
        <f>E66*$K$42</f>
        <v>2868049.7956989259</v>
      </c>
      <c r="H66" s="153"/>
      <c r="I66" s="163">
        <f>G66-F66</f>
        <v>42938.045698925853</v>
      </c>
      <c r="J66" s="155"/>
    </row>
    <row r="67" spans="1:17" s="81" customFormat="1" x14ac:dyDescent="0.25">
      <c r="A67" s="152"/>
      <c r="B67" s="153" t="s">
        <v>62</v>
      </c>
      <c r="C67" s="153" t="s">
        <v>99</v>
      </c>
      <c r="D67" s="153"/>
      <c r="E67" s="160">
        <v>0</v>
      </c>
      <c r="F67" s="161">
        <v>0</v>
      </c>
      <c r="G67" s="162">
        <f>E67*$L$42</f>
        <v>0</v>
      </c>
      <c r="H67" s="153"/>
      <c r="I67" s="163">
        <f t="shared" ref="I67:I68" si="15">G67-F67</f>
        <v>0</v>
      </c>
      <c r="J67" s="155"/>
      <c r="K67" s="144"/>
      <c r="L67" s="145"/>
      <c r="O67" s="82"/>
      <c r="P67" s="82"/>
      <c r="Q67" s="82"/>
    </row>
    <row r="68" spans="1:17" s="81" customFormat="1" x14ac:dyDescent="0.25">
      <c r="A68" s="152"/>
      <c r="B68" s="153" t="s">
        <v>100</v>
      </c>
      <c r="C68" s="153">
        <v>500</v>
      </c>
      <c r="D68" s="153"/>
      <c r="E68" s="160">
        <v>0</v>
      </c>
      <c r="F68" s="161">
        <v>0</v>
      </c>
      <c r="G68" s="162">
        <f>E68*$M$42</f>
        <v>0</v>
      </c>
      <c r="H68" s="153"/>
      <c r="I68" s="163">
        <f t="shared" si="15"/>
        <v>0</v>
      </c>
      <c r="J68" s="155"/>
      <c r="K68" s="144"/>
      <c r="L68" s="145"/>
      <c r="O68" s="82"/>
      <c r="P68" s="82"/>
      <c r="Q68" s="82"/>
    </row>
    <row r="69" spans="1:17" s="81" customFormat="1" ht="13" thickBot="1" x14ac:dyDescent="0.3">
      <c r="A69" s="152"/>
      <c r="B69" s="153"/>
      <c r="C69" s="153"/>
      <c r="D69" s="153"/>
      <c r="E69" s="160"/>
      <c r="F69" s="161"/>
      <c r="G69" s="153"/>
      <c r="H69" s="153"/>
      <c r="I69" s="153"/>
      <c r="J69" s="155"/>
      <c r="K69" s="144"/>
      <c r="L69" s="145"/>
      <c r="O69" s="82"/>
      <c r="P69" s="82"/>
      <c r="Q69" s="82"/>
    </row>
    <row r="70" spans="1:17" s="81" customFormat="1" ht="13" thickBot="1" x14ac:dyDescent="0.3">
      <c r="A70" s="152"/>
      <c r="B70" s="153"/>
      <c r="C70" s="153"/>
      <c r="D70" s="153"/>
      <c r="E70" s="160"/>
      <c r="F70" s="161"/>
      <c r="G70" s="153"/>
      <c r="H70" s="164"/>
      <c r="I70" s="165">
        <f>SUM(I66:I69)</f>
        <v>42938.045698925853</v>
      </c>
      <c r="J70" s="155"/>
      <c r="L70" s="145"/>
      <c r="M70" s="171"/>
      <c r="O70" s="82"/>
      <c r="P70" s="82"/>
      <c r="Q70" s="82"/>
    </row>
    <row r="71" spans="1:17" s="81" customFormat="1" x14ac:dyDescent="0.25">
      <c r="A71" s="166"/>
      <c r="B71" s="167"/>
      <c r="C71" s="167"/>
      <c r="D71" s="167"/>
      <c r="E71" s="168"/>
      <c r="F71" s="167"/>
      <c r="G71" s="167"/>
      <c r="H71" s="167"/>
      <c r="I71" s="167"/>
      <c r="J71" s="169"/>
      <c r="L71" s="145"/>
      <c r="O71" s="82"/>
      <c r="P71" s="82"/>
      <c r="Q71" s="82"/>
    </row>
    <row r="72" spans="1:17" s="81" customFormat="1" x14ac:dyDescent="0.25">
      <c r="A72" s="87"/>
      <c r="L72" s="145"/>
      <c r="O72" s="82"/>
      <c r="P72" s="82"/>
      <c r="Q72" s="82"/>
    </row>
    <row r="73" spans="1:17" ht="13" x14ac:dyDescent="0.3">
      <c r="A73" s="170"/>
    </row>
    <row r="74" spans="1:17" s="81" customFormat="1" x14ac:dyDescent="0.25">
      <c r="A74" s="87"/>
      <c r="L74" s="145"/>
      <c r="M74" s="171"/>
      <c r="O74" s="82"/>
      <c r="P74" s="82"/>
      <c r="Q74" s="82"/>
    </row>
    <row r="75" spans="1:17" s="81" customFormat="1" x14ac:dyDescent="0.25">
      <c r="A75" s="87"/>
      <c r="B75" s="143"/>
      <c r="C75" s="143"/>
      <c r="D75" s="143"/>
      <c r="E75" s="143"/>
      <c r="F75" s="143"/>
      <c r="G75" s="143"/>
      <c r="H75" s="143"/>
      <c r="I75" s="143"/>
      <c r="J75" s="143"/>
      <c r="K75" s="144"/>
      <c r="L75" s="145"/>
      <c r="O75" s="82"/>
      <c r="P75" s="82"/>
      <c r="Q75" s="82"/>
    </row>
    <row r="76" spans="1:17" s="81" customFormat="1" x14ac:dyDescent="0.25">
      <c r="A76" s="87"/>
      <c r="B76" s="143"/>
      <c r="C76" s="143"/>
      <c r="D76" s="143"/>
      <c r="E76" s="143"/>
      <c r="F76" s="143"/>
      <c r="G76" s="143"/>
      <c r="H76" s="143"/>
      <c r="I76" s="143"/>
      <c r="J76" s="143"/>
      <c r="K76" s="144"/>
      <c r="L76" s="145"/>
      <c r="M76" s="143"/>
      <c r="O76" s="82"/>
      <c r="P76" s="82"/>
      <c r="Q76" s="82"/>
    </row>
    <row r="77" spans="1:17" s="81" customFormat="1" x14ac:dyDescent="0.25">
      <c r="A77" s="87"/>
      <c r="B77" s="143"/>
      <c r="C77" s="143"/>
      <c r="D77" s="143"/>
      <c r="E77" s="143"/>
      <c r="F77" s="143"/>
      <c r="G77" s="143"/>
      <c r="H77" s="143"/>
      <c r="I77" s="143"/>
      <c r="J77" s="143"/>
      <c r="K77" s="144"/>
      <c r="L77" s="145"/>
      <c r="O77" s="82"/>
      <c r="P77" s="82"/>
      <c r="Q77" s="82"/>
    </row>
    <row r="78" spans="1:17" s="81" customFormat="1" x14ac:dyDescent="0.25">
      <c r="A78" s="87"/>
      <c r="B78" s="143"/>
      <c r="C78" s="143"/>
      <c r="D78" s="143"/>
      <c r="E78" s="143"/>
      <c r="F78" s="143"/>
      <c r="G78" s="143"/>
      <c r="H78" s="143"/>
      <c r="I78" s="143"/>
      <c r="J78" s="143"/>
      <c r="K78" s="144"/>
      <c r="L78" s="145"/>
      <c r="M78" s="171"/>
      <c r="O78" s="82"/>
      <c r="P78" s="82"/>
      <c r="Q78" s="82"/>
    </row>
    <row r="79" spans="1:17" s="81" customFormat="1" x14ac:dyDescent="0.25">
      <c r="A79" s="87"/>
      <c r="B79" s="143"/>
      <c r="C79" s="143"/>
      <c r="D79" s="143"/>
      <c r="E79" s="143"/>
      <c r="F79" s="143"/>
      <c r="G79" s="143"/>
      <c r="H79" s="143"/>
      <c r="I79" s="143"/>
      <c r="J79" s="143"/>
      <c r="K79" s="144"/>
      <c r="L79" s="145"/>
      <c r="O79" s="82"/>
      <c r="P79" s="82"/>
      <c r="Q79" s="82"/>
    </row>
    <row r="80" spans="1:17" s="81" customFormat="1" x14ac:dyDescent="0.25">
      <c r="A80" s="87"/>
      <c r="L80" s="145"/>
      <c r="O80" s="82"/>
      <c r="P80" s="82"/>
      <c r="Q80" s="82"/>
    </row>
    <row r="81" spans="1:17" s="81" customFormat="1" x14ac:dyDescent="0.25">
      <c r="A81" s="87"/>
      <c r="L81" s="145"/>
      <c r="O81" s="82"/>
      <c r="P81" s="82"/>
      <c r="Q81" s="82"/>
    </row>
    <row r="82" spans="1:17" s="81" customFormat="1" x14ac:dyDescent="0.25">
      <c r="A82" s="87"/>
      <c r="B82" s="143"/>
      <c r="C82" s="143"/>
      <c r="D82" s="143"/>
      <c r="E82" s="143"/>
      <c r="F82" s="143"/>
      <c r="G82" s="143"/>
      <c r="H82" s="143"/>
      <c r="I82" s="143"/>
      <c r="J82" s="143"/>
      <c r="L82" s="145"/>
      <c r="M82" s="171"/>
      <c r="O82" s="82"/>
      <c r="P82" s="82"/>
      <c r="Q82" s="82"/>
    </row>
  </sheetData>
  <mergeCells count="8">
    <mergeCell ref="H51:I51"/>
    <mergeCell ref="H65:I65"/>
    <mergeCell ref="H6:J6"/>
    <mergeCell ref="K6:M6"/>
    <mergeCell ref="B7:D7"/>
    <mergeCell ref="E7:G7"/>
    <mergeCell ref="H7:J7"/>
    <mergeCell ref="K7:M7"/>
  </mergeCells>
  <pageMargins left="0" right="0" top="0.53" bottom="0.74" header="0.21" footer="0.4"/>
  <pageSetup scale="75" fitToHeight="0" orientation="portrait" r:id="rId1"/>
  <headerFooter alignWithMargins="0">
    <oddHeader xml:space="preserve">&amp;RKY PSC CN 2020-00378  
 Staff's Data Request Set 1 No. 5 Attachment C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2"/>
  <sheetViews>
    <sheetView view="pageLayout" zoomScaleNormal="100" workbookViewId="0">
      <selection activeCell="L4" sqref="L4"/>
    </sheetView>
  </sheetViews>
  <sheetFormatPr defaultColWidth="9.1796875" defaultRowHeight="12.5" x14ac:dyDescent="0.25"/>
  <cols>
    <col min="1" max="1" width="9.1796875" style="87" customWidth="1"/>
    <col min="2" max="2" width="10.1796875" style="81" customWidth="1"/>
    <col min="3" max="3" width="11.1796875" style="81" customWidth="1"/>
    <col min="4" max="4" width="9.26953125" style="81" customWidth="1"/>
    <col min="5" max="5" width="10.81640625" style="81" customWidth="1"/>
    <col min="6" max="6" width="13.26953125" style="81" customWidth="1"/>
    <col min="7" max="7" width="13" style="81" customWidth="1"/>
    <col min="8" max="8" width="10.1796875" style="81" customWidth="1"/>
    <col min="9" max="9" width="14.54296875" style="81" customWidth="1"/>
    <col min="10" max="13" width="10.1796875" style="81" customWidth="1"/>
    <col min="14" max="14" width="8.453125" style="81" hidden="1" customWidth="1"/>
    <col min="15" max="15" width="1.453125" style="82" customWidth="1"/>
    <col min="16" max="16" width="11" style="82" hidden="1" customWidth="1"/>
    <col min="17" max="17" width="11.453125" style="82" customWidth="1"/>
    <col min="18" max="16384" width="9.1796875" style="82"/>
  </cols>
  <sheetData>
    <row r="1" spans="1:16" ht="18" x14ac:dyDescent="0.4">
      <c r="A1" s="79" t="s">
        <v>73</v>
      </c>
      <c r="B1" s="80"/>
      <c r="C1" s="80"/>
      <c r="D1" s="80"/>
    </row>
    <row r="2" spans="1:16" ht="18" x14ac:dyDescent="0.4">
      <c r="A2" s="79"/>
      <c r="B2" s="80"/>
      <c r="C2" s="80"/>
      <c r="D2" s="80"/>
    </row>
    <row r="3" spans="1:16" ht="18" x14ac:dyDescent="0.4">
      <c r="A3" s="79" t="s">
        <v>74</v>
      </c>
      <c r="B3" s="83"/>
      <c r="C3" s="84">
        <f>'February 20 TCPS CALC'!C10</f>
        <v>43862</v>
      </c>
      <c r="E3" s="85"/>
      <c r="F3" s="85"/>
      <c r="G3" s="85"/>
      <c r="H3" s="85"/>
      <c r="I3" s="85"/>
      <c r="J3" s="85"/>
      <c r="K3" s="85"/>
      <c r="L3" s="85"/>
      <c r="M3" s="86"/>
    </row>
    <row r="5" spans="1:16" ht="13" thickBot="1" x14ac:dyDescent="0.3"/>
    <row r="6" spans="1:16" ht="13" x14ac:dyDescent="0.3">
      <c r="H6" s="206" t="s">
        <v>75</v>
      </c>
      <c r="I6" s="207"/>
      <c r="J6" s="207"/>
      <c r="K6" s="208" t="s">
        <v>76</v>
      </c>
      <c r="L6" s="209"/>
      <c r="M6" s="210"/>
      <c r="P6" s="81" t="s">
        <v>77</v>
      </c>
    </row>
    <row r="7" spans="1:16" ht="13" x14ac:dyDescent="0.3">
      <c r="A7" s="88" t="s">
        <v>78</v>
      </c>
      <c r="B7" s="211" t="s">
        <v>79</v>
      </c>
      <c r="C7" s="212"/>
      <c r="D7" s="213"/>
      <c r="E7" s="214" t="s">
        <v>80</v>
      </c>
      <c r="F7" s="215"/>
      <c r="G7" s="216"/>
      <c r="H7" s="212" t="s">
        <v>81</v>
      </c>
      <c r="I7" s="212"/>
      <c r="J7" s="212"/>
      <c r="K7" s="217" t="s">
        <v>82</v>
      </c>
      <c r="L7" s="218"/>
      <c r="M7" s="219"/>
      <c r="P7" s="81" t="s">
        <v>83</v>
      </c>
    </row>
    <row r="8" spans="1:16" ht="13" x14ac:dyDescent="0.3">
      <c r="A8" s="89" t="s">
        <v>84</v>
      </c>
      <c r="B8" s="90" t="s">
        <v>85</v>
      </c>
      <c r="C8" s="91" t="s">
        <v>86</v>
      </c>
      <c r="D8" s="92" t="s">
        <v>87</v>
      </c>
      <c r="E8" s="93" t="s">
        <v>85</v>
      </c>
      <c r="F8" s="94" t="s">
        <v>86</v>
      </c>
      <c r="G8" s="95" t="s">
        <v>87</v>
      </c>
      <c r="H8" s="91" t="s">
        <v>85</v>
      </c>
      <c r="I8" s="91" t="s">
        <v>86</v>
      </c>
      <c r="J8" s="91" t="s">
        <v>87</v>
      </c>
      <c r="K8" s="96" t="s">
        <v>85</v>
      </c>
      <c r="L8" s="97" t="s">
        <v>86</v>
      </c>
      <c r="M8" s="98" t="s">
        <v>87</v>
      </c>
      <c r="N8" s="99" t="s">
        <v>84</v>
      </c>
      <c r="P8" s="100" t="s">
        <v>88</v>
      </c>
    </row>
    <row r="9" spans="1:16" ht="13" x14ac:dyDescent="0.3">
      <c r="A9" s="101"/>
      <c r="B9" s="102"/>
      <c r="C9" s="103"/>
      <c r="D9" s="104"/>
      <c r="E9" s="105"/>
      <c r="F9" s="106"/>
      <c r="G9" s="107"/>
      <c r="H9" s="108"/>
      <c r="I9" s="108" t="s">
        <v>89</v>
      </c>
      <c r="J9" s="109"/>
      <c r="K9" s="110"/>
      <c r="L9" s="111"/>
      <c r="M9" s="112"/>
    </row>
    <row r="10" spans="1:16" ht="13" x14ac:dyDescent="0.3">
      <c r="A10" s="87">
        <f>C3</f>
        <v>43862</v>
      </c>
      <c r="B10" s="113">
        <v>1.53</v>
      </c>
      <c r="C10" s="114">
        <v>1.73</v>
      </c>
      <c r="D10" s="115">
        <v>1.8</v>
      </c>
      <c r="E10" s="116">
        <v>1.58</v>
      </c>
      <c r="F10" s="117">
        <v>1.7150000000000001</v>
      </c>
      <c r="G10" s="118">
        <v>1.76</v>
      </c>
      <c r="H10" s="113">
        <v>1.62</v>
      </c>
      <c r="I10" s="114">
        <v>1.77</v>
      </c>
      <c r="J10" s="115">
        <v>1.8</v>
      </c>
      <c r="K10" s="119">
        <f t="shared" ref="K10:M37" si="0">AVERAGE(B10,E10,H10)</f>
        <v>1.5766666666666669</v>
      </c>
      <c r="L10" s="120">
        <f t="shared" si="0"/>
        <v>1.7383333333333333</v>
      </c>
      <c r="M10" s="121">
        <f t="shared" si="0"/>
        <v>1.7866666666666668</v>
      </c>
      <c r="N10" s="87">
        <f t="shared" ref="N10:N38" si="1">A10</f>
        <v>43862</v>
      </c>
      <c r="P10" s="122">
        <f>H10-E10</f>
        <v>4.0000000000000036E-2</v>
      </c>
    </row>
    <row r="11" spans="1:16" x14ac:dyDescent="0.25">
      <c r="A11" s="87">
        <f>A10+1</f>
        <v>43863</v>
      </c>
      <c r="B11" s="123">
        <f t="shared" ref="B11:B38" si="2">$B$10</f>
        <v>1.53</v>
      </c>
      <c r="C11" s="124">
        <f>$C$10</f>
        <v>1.73</v>
      </c>
      <c r="D11" s="125">
        <f>$D$10</f>
        <v>1.8</v>
      </c>
      <c r="E11" s="116">
        <v>1.58</v>
      </c>
      <c r="F11" s="117">
        <v>1.7150000000000001</v>
      </c>
      <c r="G11" s="118">
        <v>1.76</v>
      </c>
      <c r="H11" s="126">
        <f t="shared" ref="H11:J12" si="3">H10</f>
        <v>1.62</v>
      </c>
      <c r="I11" s="126">
        <f t="shared" si="3"/>
        <v>1.77</v>
      </c>
      <c r="J11" s="126">
        <f t="shared" si="3"/>
        <v>1.8</v>
      </c>
      <c r="K11" s="119">
        <f t="shared" si="0"/>
        <v>1.5766666666666669</v>
      </c>
      <c r="L11" s="120">
        <f t="shared" si="0"/>
        <v>1.7383333333333333</v>
      </c>
      <c r="M11" s="121">
        <f t="shared" si="0"/>
        <v>1.7866666666666668</v>
      </c>
      <c r="N11" s="127">
        <f t="shared" si="1"/>
        <v>43863</v>
      </c>
      <c r="P11" s="122">
        <f t="shared" ref="P11:P38" si="4">H11-E11</f>
        <v>4.0000000000000036E-2</v>
      </c>
    </row>
    <row r="12" spans="1:16" x14ac:dyDescent="0.25">
      <c r="A12" s="87">
        <f t="shared" ref="A12:A38" si="5">A11+1</f>
        <v>43864</v>
      </c>
      <c r="B12" s="123">
        <f t="shared" si="2"/>
        <v>1.53</v>
      </c>
      <c r="C12" s="124">
        <f t="shared" ref="C12:C38" si="6">$C$10</f>
        <v>1.73</v>
      </c>
      <c r="D12" s="125">
        <f t="shared" ref="D12:D38" si="7">$D$10</f>
        <v>1.8</v>
      </c>
      <c r="E12" s="116">
        <v>1.58</v>
      </c>
      <c r="F12" s="117">
        <v>1.7150000000000001</v>
      </c>
      <c r="G12" s="118">
        <v>1.76</v>
      </c>
      <c r="H12" s="126">
        <f t="shared" si="3"/>
        <v>1.62</v>
      </c>
      <c r="I12" s="126">
        <f t="shared" si="3"/>
        <v>1.77</v>
      </c>
      <c r="J12" s="126">
        <f t="shared" si="3"/>
        <v>1.8</v>
      </c>
      <c r="K12" s="119">
        <f t="shared" si="0"/>
        <v>1.5766666666666669</v>
      </c>
      <c r="L12" s="120">
        <f t="shared" si="0"/>
        <v>1.7383333333333333</v>
      </c>
      <c r="M12" s="121">
        <f t="shared" si="0"/>
        <v>1.7866666666666668</v>
      </c>
      <c r="N12" s="87">
        <f t="shared" si="1"/>
        <v>43864</v>
      </c>
      <c r="P12" s="122">
        <f t="shared" si="4"/>
        <v>4.0000000000000036E-2</v>
      </c>
    </row>
    <row r="13" spans="1:16" ht="13" x14ac:dyDescent="0.3">
      <c r="A13" s="87">
        <f t="shared" si="5"/>
        <v>43865</v>
      </c>
      <c r="B13" s="123">
        <f t="shared" si="2"/>
        <v>1.53</v>
      </c>
      <c r="C13" s="124">
        <f t="shared" si="6"/>
        <v>1.73</v>
      </c>
      <c r="D13" s="125">
        <f t="shared" si="7"/>
        <v>1.8</v>
      </c>
      <c r="E13" s="116">
        <v>1.6</v>
      </c>
      <c r="F13" s="117">
        <v>1.73</v>
      </c>
      <c r="G13" s="118">
        <v>1.75</v>
      </c>
      <c r="H13" s="128">
        <v>1.64</v>
      </c>
      <c r="I13" s="128">
        <v>1.76</v>
      </c>
      <c r="J13" s="128">
        <v>1.79</v>
      </c>
      <c r="K13" s="119">
        <f t="shared" si="0"/>
        <v>1.5899999999999999</v>
      </c>
      <c r="L13" s="120">
        <f t="shared" si="0"/>
        <v>1.74</v>
      </c>
      <c r="M13" s="121">
        <f t="shared" si="0"/>
        <v>1.78</v>
      </c>
      <c r="N13" s="87">
        <f t="shared" si="1"/>
        <v>43865</v>
      </c>
      <c r="P13" s="122">
        <f t="shared" si="4"/>
        <v>3.9999999999999813E-2</v>
      </c>
    </row>
    <row r="14" spans="1:16" s="134" customFormat="1" x14ac:dyDescent="0.25">
      <c r="A14" s="129">
        <f t="shared" si="5"/>
        <v>43866</v>
      </c>
      <c r="B14" s="123">
        <f t="shared" si="2"/>
        <v>1.53</v>
      </c>
      <c r="C14" s="124">
        <f t="shared" si="6"/>
        <v>1.73</v>
      </c>
      <c r="D14" s="125">
        <f t="shared" si="7"/>
        <v>1.8</v>
      </c>
      <c r="E14" s="116">
        <v>1.615</v>
      </c>
      <c r="F14" s="117">
        <v>1.7350000000000001</v>
      </c>
      <c r="G14" s="118">
        <v>1.76</v>
      </c>
      <c r="H14" s="126">
        <f t="shared" ref="H14:J19" si="8">H13</f>
        <v>1.64</v>
      </c>
      <c r="I14" s="126">
        <f t="shared" si="8"/>
        <v>1.76</v>
      </c>
      <c r="J14" s="126">
        <f t="shared" si="8"/>
        <v>1.79</v>
      </c>
      <c r="K14" s="130">
        <f t="shared" si="0"/>
        <v>1.595</v>
      </c>
      <c r="L14" s="131">
        <f t="shared" si="0"/>
        <v>1.7416666666666665</v>
      </c>
      <c r="M14" s="132">
        <f t="shared" si="0"/>
        <v>1.7833333333333332</v>
      </c>
      <c r="N14" s="133">
        <f t="shared" si="1"/>
        <v>43866</v>
      </c>
      <c r="P14" s="135">
        <f t="shared" si="4"/>
        <v>2.4999999999999911E-2</v>
      </c>
    </row>
    <row r="15" spans="1:16" s="134" customFormat="1" x14ac:dyDescent="0.25">
      <c r="A15" s="129">
        <f t="shared" si="5"/>
        <v>43867</v>
      </c>
      <c r="B15" s="123">
        <f t="shared" si="2"/>
        <v>1.53</v>
      </c>
      <c r="C15" s="124">
        <f t="shared" si="6"/>
        <v>1.73</v>
      </c>
      <c r="D15" s="125">
        <f t="shared" si="7"/>
        <v>1.8</v>
      </c>
      <c r="E15" s="116">
        <v>1.61</v>
      </c>
      <c r="F15" s="117">
        <v>1.7549999999999999</v>
      </c>
      <c r="G15" s="118">
        <v>1.78</v>
      </c>
      <c r="H15" s="126">
        <f t="shared" si="8"/>
        <v>1.64</v>
      </c>
      <c r="I15" s="126">
        <f t="shared" si="8"/>
        <v>1.76</v>
      </c>
      <c r="J15" s="126">
        <f t="shared" si="8"/>
        <v>1.79</v>
      </c>
      <c r="K15" s="130">
        <f t="shared" si="0"/>
        <v>1.5933333333333335</v>
      </c>
      <c r="L15" s="131">
        <f t="shared" si="0"/>
        <v>1.7483333333333333</v>
      </c>
      <c r="M15" s="132">
        <f t="shared" si="0"/>
        <v>1.79</v>
      </c>
      <c r="N15" s="133">
        <f t="shared" si="1"/>
        <v>43867</v>
      </c>
      <c r="P15" s="122">
        <f t="shared" si="4"/>
        <v>2.9999999999999805E-2</v>
      </c>
    </row>
    <row r="16" spans="1:16" s="134" customFormat="1" ht="13" x14ac:dyDescent="0.3">
      <c r="A16" s="129">
        <f t="shared" si="5"/>
        <v>43868</v>
      </c>
      <c r="B16" s="123">
        <f t="shared" si="2"/>
        <v>1.53</v>
      </c>
      <c r="C16" s="124">
        <f t="shared" si="6"/>
        <v>1.73</v>
      </c>
      <c r="D16" s="125">
        <f t="shared" si="7"/>
        <v>1.8</v>
      </c>
      <c r="E16" s="116">
        <v>1.635</v>
      </c>
      <c r="F16" s="117">
        <v>1.7749999999999999</v>
      </c>
      <c r="G16" s="118">
        <v>1.7949999999999999</v>
      </c>
      <c r="H16" s="126">
        <f t="shared" si="8"/>
        <v>1.64</v>
      </c>
      <c r="I16" s="126">
        <f t="shared" si="8"/>
        <v>1.76</v>
      </c>
      <c r="J16" s="126">
        <f t="shared" si="8"/>
        <v>1.79</v>
      </c>
      <c r="K16" s="130">
        <f t="shared" si="0"/>
        <v>1.6016666666666666</v>
      </c>
      <c r="L16" s="131">
        <f t="shared" si="0"/>
        <v>1.7549999999999999</v>
      </c>
      <c r="M16" s="132">
        <f t="shared" si="0"/>
        <v>1.7949999999999999</v>
      </c>
      <c r="N16" s="136">
        <f t="shared" si="1"/>
        <v>43868</v>
      </c>
      <c r="P16" s="122">
        <f t="shared" si="4"/>
        <v>4.9999999999998934E-3</v>
      </c>
    </row>
    <row r="17" spans="1:16" s="134" customFormat="1" x14ac:dyDescent="0.25">
      <c r="A17" s="129">
        <f t="shared" si="5"/>
        <v>43869</v>
      </c>
      <c r="B17" s="123">
        <f t="shared" si="2"/>
        <v>1.53</v>
      </c>
      <c r="C17" s="124">
        <f t="shared" si="6"/>
        <v>1.73</v>
      </c>
      <c r="D17" s="125">
        <f t="shared" si="7"/>
        <v>1.8</v>
      </c>
      <c r="E17" s="116">
        <v>1.66</v>
      </c>
      <c r="F17" s="117">
        <v>1.7849999999999999</v>
      </c>
      <c r="G17" s="118">
        <v>1.8149999999999999</v>
      </c>
      <c r="H17" s="126">
        <f t="shared" si="8"/>
        <v>1.64</v>
      </c>
      <c r="I17" s="126">
        <f t="shared" si="8"/>
        <v>1.76</v>
      </c>
      <c r="J17" s="126">
        <f t="shared" si="8"/>
        <v>1.79</v>
      </c>
      <c r="K17" s="130">
        <f t="shared" si="0"/>
        <v>1.61</v>
      </c>
      <c r="L17" s="131">
        <f t="shared" si="0"/>
        <v>1.7583333333333331</v>
      </c>
      <c r="M17" s="132">
        <f t="shared" si="0"/>
        <v>1.8016666666666667</v>
      </c>
      <c r="N17" s="133">
        <f t="shared" si="1"/>
        <v>43869</v>
      </c>
      <c r="P17" s="122">
        <f t="shared" si="4"/>
        <v>-2.0000000000000018E-2</v>
      </c>
    </row>
    <row r="18" spans="1:16" s="134" customFormat="1" x14ac:dyDescent="0.25">
      <c r="A18" s="129">
        <f t="shared" si="5"/>
        <v>43870</v>
      </c>
      <c r="B18" s="123">
        <f t="shared" si="2"/>
        <v>1.53</v>
      </c>
      <c r="C18" s="124">
        <f t="shared" si="6"/>
        <v>1.73</v>
      </c>
      <c r="D18" s="125">
        <f t="shared" si="7"/>
        <v>1.8</v>
      </c>
      <c r="E18" s="116">
        <v>1.66</v>
      </c>
      <c r="F18" s="117">
        <v>1.7849999999999999</v>
      </c>
      <c r="G18" s="118">
        <v>1.8149999999999999</v>
      </c>
      <c r="H18" s="126">
        <f t="shared" si="8"/>
        <v>1.64</v>
      </c>
      <c r="I18" s="126">
        <f t="shared" si="8"/>
        <v>1.76</v>
      </c>
      <c r="J18" s="126">
        <f t="shared" si="8"/>
        <v>1.79</v>
      </c>
      <c r="K18" s="130">
        <f t="shared" si="0"/>
        <v>1.61</v>
      </c>
      <c r="L18" s="131">
        <f t="shared" si="0"/>
        <v>1.7583333333333331</v>
      </c>
      <c r="M18" s="132">
        <f t="shared" si="0"/>
        <v>1.8016666666666667</v>
      </c>
      <c r="N18" s="133">
        <f t="shared" si="1"/>
        <v>43870</v>
      </c>
      <c r="P18" s="122">
        <f t="shared" si="4"/>
        <v>-2.0000000000000018E-2</v>
      </c>
    </row>
    <row r="19" spans="1:16" s="134" customFormat="1" ht="12" customHeight="1" x14ac:dyDescent="0.25">
      <c r="A19" s="129">
        <f t="shared" si="5"/>
        <v>43871</v>
      </c>
      <c r="B19" s="123">
        <f t="shared" si="2"/>
        <v>1.53</v>
      </c>
      <c r="C19" s="124">
        <f t="shared" si="6"/>
        <v>1.73</v>
      </c>
      <c r="D19" s="125">
        <f t="shared" si="7"/>
        <v>1.8</v>
      </c>
      <c r="E19" s="116">
        <v>1.66</v>
      </c>
      <c r="F19" s="117">
        <v>1.7849999999999999</v>
      </c>
      <c r="G19" s="118">
        <v>1.8149999999999999</v>
      </c>
      <c r="H19" s="126">
        <f t="shared" si="8"/>
        <v>1.64</v>
      </c>
      <c r="I19" s="126">
        <f t="shared" si="8"/>
        <v>1.76</v>
      </c>
      <c r="J19" s="126">
        <f t="shared" si="8"/>
        <v>1.79</v>
      </c>
      <c r="K19" s="130">
        <f t="shared" si="0"/>
        <v>1.61</v>
      </c>
      <c r="L19" s="131">
        <f t="shared" si="0"/>
        <v>1.7583333333333331</v>
      </c>
      <c r="M19" s="132">
        <f t="shared" si="0"/>
        <v>1.8016666666666667</v>
      </c>
      <c r="N19" s="133">
        <f t="shared" si="1"/>
        <v>43871</v>
      </c>
      <c r="P19" s="122">
        <f t="shared" si="4"/>
        <v>-2.0000000000000018E-2</v>
      </c>
    </row>
    <row r="20" spans="1:16" s="134" customFormat="1" ht="13" x14ac:dyDescent="0.3">
      <c r="A20" s="129">
        <f t="shared" si="5"/>
        <v>43872</v>
      </c>
      <c r="B20" s="123">
        <f t="shared" si="2"/>
        <v>1.53</v>
      </c>
      <c r="C20" s="124">
        <f t="shared" si="6"/>
        <v>1.73</v>
      </c>
      <c r="D20" s="125">
        <f t="shared" si="7"/>
        <v>1.8</v>
      </c>
      <c r="E20" s="116">
        <v>1.61</v>
      </c>
      <c r="F20" s="117">
        <v>1.69</v>
      </c>
      <c r="G20" s="118">
        <v>1.7250000000000001</v>
      </c>
      <c r="H20" s="128">
        <v>1.64</v>
      </c>
      <c r="I20" s="128">
        <v>1.72</v>
      </c>
      <c r="J20" s="128">
        <v>1.77</v>
      </c>
      <c r="K20" s="130">
        <f t="shared" si="0"/>
        <v>1.5933333333333335</v>
      </c>
      <c r="L20" s="131">
        <f t="shared" si="0"/>
        <v>1.7133333333333332</v>
      </c>
      <c r="M20" s="132">
        <f t="shared" si="0"/>
        <v>1.7649999999999999</v>
      </c>
      <c r="N20" s="133">
        <f t="shared" si="1"/>
        <v>43872</v>
      </c>
      <c r="P20" s="135">
        <f>H20-E20</f>
        <v>2.9999999999999805E-2</v>
      </c>
    </row>
    <row r="21" spans="1:16" s="134" customFormat="1" x14ac:dyDescent="0.25">
      <c r="A21" s="129">
        <f t="shared" si="5"/>
        <v>43873</v>
      </c>
      <c r="B21" s="123">
        <f t="shared" si="2"/>
        <v>1.53</v>
      </c>
      <c r="C21" s="124">
        <f t="shared" si="6"/>
        <v>1.73</v>
      </c>
      <c r="D21" s="125">
        <f t="shared" si="7"/>
        <v>1.8</v>
      </c>
      <c r="E21" s="116">
        <v>1.62</v>
      </c>
      <c r="F21" s="117">
        <v>1.6850000000000001</v>
      </c>
      <c r="G21" s="118">
        <v>1.7250000000000001</v>
      </c>
      <c r="H21" s="126">
        <f t="shared" ref="H21:J26" si="9">H20</f>
        <v>1.64</v>
      </c>
      <c r="I21" s="126">
        <f t="shared" si="9"/>
        <v>1.72</v>
      </c>
      <c r="J21" s="126">
        <f t="shared" si="9"/>
        <v>1.77</v>
      </c>
      <c r="K21" s="130">
        <f t="shared" si="0"/>
        <v>1.5966666666666667</v>
      </c>
      <c r="L21" s="131">
        <f t="shared" si="0"/>
        <v>1.7116666666666667</v>
      </c>
      <c r="M21" s="132">
        <f t="shared" si="0"/>
        <v>1.7649999999999999</v>
      </c>
      <c r="N21" s="133">
        <f t="shared" si="1"/>
        <v>43873</v>
      </c>
      <c r="P21" s="135">
        <f t="shared" si="4"/>
        <v>1.9999999999999796E-2</v>
      </c>
    </row>
    <row r="22" spans="1:16" s="134" customFormat="1" x14ac:dyDescent="0.25">
      <c r="A22" s="129">
        <f t="shared" si="5"/>
        <v>43874</v>
      </c>
      <c r="B22" s="123">
        <f t="shared" si="2"/>
        <v>1.53</v>
      </c>
      <c r="C22" s="124">
        <f t="shared" si="6"/>
        <v>1.73</v>
      </c>
      <c r="D22" s="125">
        <f t="shared" si="7"/>
        <v>1.8</v>
      </c>
      <c r="E22" s="116">
        <v>1.64</v>
      </c>
      <c r="F22" s="117">
        <v>1.7749999999999999</v>
      </c>
      <c r="G22" s="118">
        <v>1.8049999999999999</v>
      </c>
      <c r="H22" s="126">
        <f t="shared" si="9"/>
        <v>1.64</v>
      </c>
      <c r="I22" s="126">
        <f t="shared" si="9"/>
        <v>1.72</v>
      </c>
      <c r="J22" s="126">
        <f t="shared" si="9"/>
        <v>1.77</v>
      </c>
      <c r="K22" s="130">
        <f t="shared" si="0"/>
        <v>1.6033333333333333</v>
      </c>
      <c r="L22" s="131">
        <f t="shared" si="0"/>
        <v>1.7416666666666665</v>
      </c>
      <c r="M22" s="132">
        <f t="shared" si="0"/>
        <v>1.7916666666666667</v>
      </c>
      <c r="N22" s="133">
        <f t="shared" si="1"/>
        <v>43874</v>
      </c>
      <c r="P22" s="122">
        <f t="shared" si="4"/>
        <v>0</v>
      </c>
    </row>
    <row r="23" spans="1:16" s="134" customFormat="1" ht="13" x14ac:dyDescent="0.3">
      <c r="A23" s="129">
        <f t="shared" si="5"/>
        <v>43875</v>
      </c>
      <c r="B23" s="123">
        <f t="shared" si="2"/>
        <v>1.53</v>
      </c>
      <c r="C23" s="124">
        <f t="shared" si="6"/>
        <v>1.73</v>
      </c>
      <c r="D23" s="125">
        <f t="shared" si="7"/>
        <v>1.8</v>
      </c>
      <c r="E23" s="116">
        <v>1.72</v>
      </c>
      <c r="F23" s="117">
        <v>1.78</v>
      </c>
      <c r="G23" s="118">
        <v>1.85</v>
      </c>
      <c r="H23" s="126">
        <f t="shared" si="9"/>
        <v>1.64</v>
      </c>
      <c r="I23" s="126">
        <f t="shared" si="9"/>
        <v>1.72</v>
      </c>
      <c r="J23" s="126">
        <f t="shared" si="9"/>
        <v>1.77</v>
      </c>
      <c r="K23" s="130">
        <f t="shared" si="0"/>
        <v>1.63</v>
      </c>
      <c r="L23" s="131">
        <f t="shared" si="0"/>
        <v>1.7433333333333332</v>
      </c>
      <c r="M23" s="132">
        <f t="shared" si="0"/>
        <v>1.8066666666666666</v>
      </c>
      <c r="N23" s="136">
        <f t="shared" si="1"/>
        <v>43875</v>
      </c>
      <c r="P23" s="122">
        <f t="shared" si="4"/>
        <v>-8.0000000000000071E-2</v>
      </c>
    </row>
    <row r="24" spans="1:16" s="134" customFormat="1" x14ac:dyDescent="0.25">
      <c r="A24" s="129">
        <f t="shared" si="5"/>
        <v>43876</v>
      </c>
      <c r="B24" s="123">
        <f t="shared" si="2"/>
        <v>1.53</v>
      </c>
      <c r="C24" s="124">
        <f t="shared" si="6"/>
        <v>1.73</v>
      </c>
      <c r="D24" s="125">
        <f t="shared" si="7"/>
        <v>1.8</v>
      </c>
      <c r="E24" s="116">
        <v>1.615</v>
      </c>
      <c r="F24" s="117">
        <v>1.72</v>
      </c>
      <c r="G24" s="118">
        <v>1.7749999999999999</v>
      </c>
      <c r="H24" s="126">
        <f t="shared" si="9"/>
        <v>1.64</v>
      </c>
      <c r="I24" s="126">
        <f t="shared" si="9"/>
        <v>1.72</v>
      </c>
      <c r="J24" s="126">
        <f t="shared" si="9"/>
        <v>1.77</v>
      </c>
      <c r="K24" s="130">
        <f>AVERAGE(B24,E24,H24)</f>
        <v>1.595</v>
      </c>
      <c r="L24" s="131">
        <f t="shared" si="0"/>
        <v>1.7233333333333334</v>
      </c>
      <c r="M24" s="132">
        <f t="shared" si="0"/>
        <v>1.781666666666667</v>
      </c>
      <c r="N24" s="133">
        <f t="shared" si="1"/>
        <v>43876</v>
      </c>
      <c r="P24" s="122">
        <f t="shared" si="4"/>
        <v>2.4999999999999911E-2</v>
      </c>
    </row>
    <row r="25" spans="1:16" s="134" customFormat="1" x14ac:dyDescent="0.25">
      <c r="A25" s="129">
        <f t="shared" si="5"/>
        <v>43877</v>
      </c>
      <c r="B25" s="123">
        <f t="shared" si="2"/>
        <v>1.53</v>
      </c>
      <c r="C25" s="124">
        <f t="shared" si="6"/>
        <v>1.73</v>
      </c>
      <c r="D25" s="125">
        <f t="shared" si="7"/>
        <v>1.8</v>
      </c>
      <c r="E25" s="116">
        <v>1.615</v>
      </c>
      <c r="F25" s="117">
        <v>1.72</v>
      </c>
      <c r="G25" s="118">
        <v>1.7749999999999999</v>
      </c>
      <c r="H25" s="126">
        <f t="shared" si="9"/>
        <v>1.64</v>
      </c>
      <c r="I25" s="126">
        <f t="shared" si="9"/>
        <v>1.72</v>
      </c>
      <c r="J25" s="126">
        <f t="shared" si="9"/>
        <v>1.77</v>
      </c>
      <c r="K25" s="130">
        <f t="shared" si="0"/>
        <v>1.595</v>
      </c>
      <c r="L25" s="131">
        <f t="shared" si="0"/>
        <v>1.7233333333333334</v>
      </c>
      <c r="M25" s="132">
        <f t="shared" si="0"/>
        <v>1.781666666666667</v>
      </c>
      <c r="N25" s="133">
        <f t="shared" si="1"/>
        <v>43877</v>
      </c>
      <c r="P25" s="135">
        <f t="shared" si="4"/>
        <v>2.4999999999999911E-2</v>
      </c>
    </row>
    <row r="26" spans="1:16" s="134" customFormat="1" x14ac:dyDescent="0.25">
      <c r="A26" s="129">
        <f t="shared" si="5"/>
        <v>43878</v>
      </c>
      <c r="B26" s="123">
        <f t="shared" si="2"/>
        <v>1.53</v>
      </c>
      <c r="C26" s="124">
        <f t="shared" si="6"/>
        <v>1.73</v>
      </c>
      <c r="D26" s="125">
        <f t="shared" si="7"/>
        <v>1.8</v>
      </c>
      <c r="E26" s="116">
        <v>1.615</v>
      </c>
      <c r="F26" s="117">
        <v>1.72</v>
      </c>
      <c r="G26" s="118">
        <v>1.7749999999999999</v>
      </c>
      <c r="H26" s="126">
        <f t="shared" si="9"/>
        <v>1.64</v>
      </c>
      <c r="I26" s="126">
        <f t="shared" si="9"/>
        <v>1.72</v>
      </c>
      <c r="J26" s="126">
        <f t="shared" si="9"/>
        <v>1.77</v>
      </c>
      <c r="K26" s="130">
        <f t="shared" si="0"/>
        <v>1.595</v>
      </c>
      <c r="L26" s="131">
        <f t="shared" si="0"/>
        <v>1.7233333333333334</v>
      </c>
      <c r="M26" s="132">
        <f t="shared" si="0"/>
        <v>1.781666666666667</v>
      </c>
      <c r="N26" s="133">
        <f t="shared" si="1"/>
        <v>43878</v>
      </c>
      <c r="P26" s="122">
        <f t="shared" si="4"/>
        <v>2.4999999999999911E-2</v>
      </c>
    </row>
    <row r="27" spans="1:16" s="134" customFormat="1" ht="13" x14ac:dyDescent="0.3">
      <c r="A27" s="129">
        <f t="shared" si="5"/>
        <v>43879</v>
      </c>
      <c r="B27" s="123">
        <f t="shared" si="2"/>
        <v>1.53</v>
      </c>
      <c r="C27" s="124">
        <f t="shared" si="6"/>
        <v>1.73</v>
      </c>
      <c r="D27" s="125">
        <f t="shared" si="7"/>
        <v>1.8</v>
      </c>
      <c r="E27" s="116">
        <v>1.615</v>
      </c>
      <c r="F27" s="117">
        <v>1.72</v>
      </c>
      <c r="G27" s="118">
        <v>1.7749999999999999</v>
      </c>
      <c r="H27" s="128">
        <v>1.73</v>
      </c>
      <c r="I27" s="128">
        <v>1.82</v>
      </c>
      <c r="J27" s="128">
        <v>1.87</v>
      </c>
      <c r="K27" s="130">
        <f t="shared" si="0"/>
        <v>1.625</v>
      </c>
      <c r="L27" s="131">
        <f t="shared" si="0"/>
        <v>1.7566666666666668</v>
      </c>
      <c r="M27" s="132">
        <f t="shared" si="0"/>
        <v>1.8150000000000002</v>
      </c>
      <c r="N27" s="133">
        <f t="shared" si="1"/>
        <v>43879</v>
      </c>
      <c r="P27" s="135">
        <f t="shared" si="4"/>
        <v>0.11499999999999999</v>
      </c>
    </row>
    <row r="28" spans="1:16" s="134" customFormat="1" x14ac:dyDescent="0.25">
      <c r="A28" s="129">
        <f t="shared" si="5"/>
        <v>43880</v>
      </c>
      <c r="B28" s="123">
        <f t="shared" si="2"/>
        <v>1.53</v>
      </c>
      <c r="C28" s="124">
        <f t="shared" si="6"/>
        <v>1.73</v>
      </c>
      <c r="D28" s="125">
        <f t="shared" si="7"/>
        <v>1.8</v>
      </c>
      <c r="E28" s="116">
        <v>1.7749999999999999</v>
      </c>
      <c r="F28" s="117">
        <v>1.865</v>
      </c>
      <c r="G28" s="118">
        <v>1.915</v>
      </c>
      <c r="H28" s="126">
        <f t="shared" ref="H28:J33" si="10">H27</f>
        <v>1.73</v>
      </c>
      <c r="I28" s="126">
        <f t="shared" si="10"/>
        <v>1.82</v>
      </c>
      <c r="J28" s="126">
        <f t="shared" si="10"/>
        <v>1.87</v>
      </c>
      <c r="K28" s="130">
        <f t="shared" si="0"/>
        <v>1.6783333333333335</v>
      </c>
      <c r="L28" s="131">
        <f t="shared" si="0"/>
        <v>1.8049999999999999</v>
      </c>
      <c r="M28" s="132">
        <f t="shared" si="0"/>
        <v>1.8616666666666666</v>
      </c>
      <c r="N28" s="133">
        <f t="shared" si="1"/>
        <v>43880</v>
      </c>
      <c r="P28" s="135">
        <f t="shared" si="4"/>
        <v>-4.4999999999999929E-2</v>
      </c>
    </row>
    <row r="29" spans="1:16" s="134" customFormat="1" x14ac:dyDescent="0.25">
      <c r="A29" s="129">
        <f t="shared" si="5"/>
        <v>43881</v>
      </c>
      <c r="B29" s="123">
        <f t="shared" si="2"/>
        <v>1.53</v>
      </c>
      <c r="C29" s="124">
        <f t="shared" si="6"/>
        <v>1.73</v>
      </c>
      <c r="D29" s="125">
        <f t="shared" si="7"/>
        <v>1.8</v>
      </c>
      <c r="E29" s="116">
        <v>1.82</v>
      </c>
      <c r="F29" s="117">
        <v>1.9</v>
      </c>
      <c r="G29" s="118">
        <v>1.9550000000000001</v>
      </c>
      <c r="H29" s="126">
        <f t="shared" si="10"/>
        <v>1.73</v>
      </c>
      <c r="I29" s="126">
        <f t="shared" si="10"/>
        <v>1.82</v>
      </c>
      <c r="J29" s="126">
        <f t="shared" si="10"/>
        <v>1.87</v>
      </c>
      <c r="K29" s="130">
        <f t="shared" si="0"/>
        <v>1.6933333333333334</v>
      </c>
      <c r="L29" s="131">
        <f t="shared" si="0"/>
        <v>1.8166666666666667</v>
      </c>
      <c r="M29" s="132">
        <f t="shared" si="0"/>
        <v>1.875</v>
      </c>
      <c r="N29" s="133">
        <f t="shared" si="1"/>
        <v>43881</v>
      </c>
      <c r="P29" s="122">
        <f t="shared" si="4"/>
        <v>-9.000000000000008E-2</v>
      </c>
    </row>
    <row r="30" spans="1:16" s="134" customFormat="1" ht="13" x14ac:dyDescent="0.3">
      <c r="A30" s="129">
        <f t="shared" si="5"/>
        <v>43882</v>
      </c>
      <c r="B30" s="123">
        <f t="shared" si="2"/>
        <v>1.53</v>
      </c>
      <c r="C30" s="124">
        <f t="shared" si="6"/>
        <v>1.73</v>
      </c>
      <c r="D30" s="125">
        <f t="shared" si="7"/>
        <v>1.8</v>
      </c>
      <c r="E30" s="116">
        <v>1.8149999999999999</v>
      </c>
      <c r="F30" s="117">
        <v>1.845</v>
      </c>
      <c r="G30" s="118">
        <v>1.915</v>
      </c>
      <c r="H30" s="126">
        <f t="shared" si="10"/>
        <v>1.73</v>
      </c>
      <c r="I30" s="126">
        <f t="shared" si="10"/>
        <v>1.82</v>
      </c>
      <c r="J30" s="126">
        <f t="shared" si="10"/>
        <v>1.87</v>
      </c>
      <c r="K30" s="130">
        <f t="shared" si="0"/>
        <v>1.6916666666666664</v>
      </c>
      <c r="L30" s="131">
        <f t="shared" si="0"/>
        <v>1.7983333333333336</v>
      </c>
      <c r="M30" s="132">
        <f t="shared" si="0"/>
        <v>1.8616666666666666</v>
      </c>
      <c r="N30" s="136">
        <f t="shared" si="1"/>
        <v>43882</v>
      </c>
      <c r="P30" s="122">
        <f t="shared" si="4"/>
        <v>-8.4999999999999964E-2</v>
      </c>
    </row>
    <row r="31" spans="1:16" s="134" customFormat="1" x14ac:dyDescent="0.25">
      <c r="A31" s="129">
        <f t="shared" si="5"/>
        <v>43883</v>
      </c>
      <c r="B31" s="123">
        <f t="shared" si="2"/>
        <v>1.53</v>
      </c>
      <c r="C31" s="124">
        <f t="shared" si="6"/>
        <v>1.73</v>
      </c>
      <c r="D31" s="125">
        <f t="shared" si="7"/>
        <v>1.8</v>
      </c>
      <c r="E31" s="116">
        <v>1.7</v>
      </c>
      <c r="F31" s="117">
        <v>1.81</v>
      </c>
      <c r="G31" s="118">
        <v>1.85</v>
      </c>
      <c r="H31" s="126">
        <f t="shared" si="10"/>
        <v>1.73</v>
      </c>
      <c r="I31" s="126">
        <f t="shared" si="10"/>
        <v>1.82</v>
      </c>
      <c r="J31" s="126">
        <f t="shared" si="10"/>
        <v>1.87</v>
      </c>
      <c r="K31" s="130">
        <f t="shared" si="0"/>
        <v>1.6533333333333333</v>
      </c>
      <c r="L31" s="131">
        <f t="shared" si="0"/>
        <v>1.7866666666666668</v>
      </c>
      <c r="M31" s="132">
        <f t="shared" si="0"/>
        <v>1.84</v>
      </c>
      <c r="N31" s="133">
        <f t="shared" si="1"/>
        <v>43883</v>
      </c>
      <c r="P31" s="122">
        <f t="shared" si="4"/>
        <v>3.0000000000000027E-2</v>
      </c>
    </row>
    <row r="32" spans="1:16" s="134" customFormat="1" x14ac:dyDescent="0.25">
      <c r="A32" s="129">
        <f t="shared" si="5"/>
        <v>43884</v>
      </c>
      <c r="B32" s="123">
        <f t="shared" si="2"/>
        <v>1.53</v>
      </c>
      <c r="C32" s="124">
        <f t="shared" si="6"/>
        <v>1.73</v>
      </c>
      <c r="D32" s="125">
        <f t="shared" si="7"/>
        <v>1.8</v>
      </c>
      <c r="E32" s="116">
        <v>1.7</v>
      </c>
      <c r="F32" s="117">
        <v>1.81</v>
      </c>
      <c r="G32" s="118">
        <v>1.85</v>
      </c>
      <c r="H32" s="126">
        <f t="shared" si="10"/>
        <v>1.73</v>
      </c>
      <c r="I32" s="126">
        <f t="shared" si="10"/>
        <v>1.82</v>
      </c>
      <c r="J32" s="126">
        <f t="shared" si="10"/>
        <v>1.87</v>
      </c>
      <c r="K32" s="130">
        <f t="shared" si="0"/>
        <v>1.6533333333333333</v>
      </c>
      <c r="L32" s="131">
        <f t="shared" si="0"/>
        <v>1.7866666666666668</v>
      </c>
      <c r="M32" s="132">
        <f t="shared" si="0"/>
        <v>1.84</v>
      </c>
      <c r="N32" s="133">
        <f t="shared" si="1"/>
        <v>43884</v>
      </c>
      <c r="P32" s="122">
        <f t="shared" si="4"/>
        <v>3.0000000000000027E-2</v>
      </c>
    </row>
    <row r="33" spans="1:16" s="134" customFormat="1" x14ac:dyDescent="0.25">
      <c r="A33" s="129">
        <f t="shared" si="5"/>
        <v>43885</v>
      </c>
      <c r="B33" s="123">
        <f t="shared" si="2"/>
        <v>1.53</v>
      </c>
      <c r="C33" s="124">
        <f t="shared" si="6"/>
        <v>1.73</v>
      </c>
      <c r="D33" s="125">
        <f t="shared" si="7"/>
        <v>1.8</v>
      </c>
      <c r="E33" s="116">
        <v>1.7</v>
      </c>
      <c r="F33" s="117">
        <v>1.81</v>
      </c>
      <c r="G33" s="118">
        <v>1.85</v>
      </c>
      <c r="H33" s="126">
        <f t="shared" si="10"/>
        <v>1.73</v>
      </c>
      <c r="I33" s="126">
        <f t="shared" si="10"/>
        <v>1.82</v>
      </c>
      <c r="J33" s="126">
        <f t="shared" si="10"/>
        <v>1.87</v>
      </c>
      <c r="K33" s="130">
        <f t="shared" si="0"/>
        <v>1.6533333333333333</v>
      </c>
      <c r="L33" s="131">
        <f t="shared" si="0"/>
        <v>1.7866666666666668</v>
      </c>
      <c r="M33" s="132">
        <f t="shared" si="0"/>
        <v>1.84</v>
      </c>
      <c r="N33" s="133">
        <f t="shared" si="1"/>
        <v>43885</v>
      </c>
      <c r="P33" s="122">
        <f t="shared" si="4"/>
        <v>3.0000000000000027E-2</v>
      </c>
    </row>
    <row r="34" spans="1:16" s="134" customFormat="1" ht="13" x14ac:dyDescent="0.3">
      <c r="A34" s="129">
        <f t="shared" si="5"/>
        <v>43886</v>
      </c>
      <c r="B34" s="123">
        <f t="shared" si="2"/>
        <v>1.53</v>
      </c>
      <c r="C34" s="124">
        <f t="shared" si="6"/>
        <v>1.73</v>
      </c>
      <c r="D34" s="125">
        <f t="shared" si="7"/>
        <v>1.8</v>
      </c>
      <c r="E34" s="116">
        <v>1.645</v>
      </c>
      <c r="F34" s="117">
        <v>1.7549999999999999</v>
      </c>
      <c r="G34" s="118">
        <v>1.8</v>
      </c>
      <c r="H34" s="128">
        <v>1.61</v>
      </c>
      <c r="I34" s="128">
        <v>1.67</v>
      </c>
      <c r="J34" s="128">
        <v>1.75</v>
      </c>
      <c r="K34" s="130">
        <f t="shared" si="0"/>
        <v>1.595</v>
      </c>
      <c r="L34" s="131">
        <f t="shared" si="0"/>
        <v>1.718333333333333</v>
      </c>
      <c r="M34" s="132">
        <f t="shared" si="0"/>
        <v>1.7833333333333332</v>
      </c>
      <c r="N34" s="133">
        <f t="shared" si="1"/>
        <v>43886</v>
      </c>
      <c r="P34" s="135">
        <f t="shared" si="4"/>
        <v>-3.499999999999992E-2</v>
      </c>
    </row>
    <row r="35" spans="1:16" s="134" customFormat="1" x14ac:dyDescent="0.25">
      <c r="A35" s="129">
        <f t="shared" si="5"/>
        <v>43887</v>
      </c>
      <c r="B35" s="123">
        <f t="shared" si="2"/>
        <v>1.53</v>
      </c>
      <c r="C35" s="124">
        <f t="shared" si="6"/>
        <v>1.73</v>
      </c>
      <c r="D35" s="125">
        <f t="shared" si="7"/>
        <v>1.8</v>
      </c>
      <c r="E35" s="116">
        <v>1.635</v>
      </c>
      <c r="F35" s="117">
        <v>1.76</v>
      </c>
      <c r="G35" s="118">
        <v>1.81</v>
      </c>
      <c r="H35" s="126">
        <f t="shared" ref="H35:J38" si="11">H34</f>
        <v>1.61</v>
      </c>
      <c r="I35" s="126">
        <f t="shared" si="11"/>
        <v>1.67</v>
      </c>
      <c r="J35" s="126">
        <f t="shared" si="11"/>
        <v>1.75</v>
      </c>
      <c r="K35" s="130">
        <f t="shared" si="0"/>
        <v>1.5916666666666668</v>
      </c>
      <c r="L35" s="131">
        <f t="shared" si="0"/>
        <v>1.72</v>
      </c>
      <c r="M35" s="132">
        <f t="shared" si="0"/>
        <v>1.7866666666666668</v>
      </c>
      <c r="N35" s="133">
        <f t="shared" si="1"/>
        <v>43887</v>
      </c>
      <c r="P35" s="135">
        <f t="shared" si="4"/>
        <v>-2.4999999999999911E-2</v>
      </c>
    </row>
    <row r="36" spans="1:16" x14ac:dyDescent="0.25">
      <c r="A36" s="87">
        <f t="shared" si="5"/>
        <v>43888</v>
      </c>
      <c r="B36" s="123">
        <f t="shared" si="2"/>
        <v>1.53</v>
      </c>
      <c r="C36" s="124">
        <f t="shared" si="6"/>
        <v>1.73</v>
      </c>
      <c r="D36" s="125">
        <f t="shared" si="7"/>
        <v>1.8</v>
      </c>
      <c r="E36" s="116">
        <v>1.7050000000000001</v>
      </c>
      <c r="F36" s="117">
        <v>1.7749999999999999</v>
      </c>
      <c r="G36" s="118">
        <v>1.845</v>
      </c>
      <c r="H36" s="126">
        <f t="shared" si="11"/>
        <v>1.61</v>
      </c>
      <c r="I36" s="126">
        <f t="shared" si="11"/>
        <v>1.67</v>
      </c>
      <c r="J36" s="126">
        <f t="shared" si="11"/>
        <v>1.75</v>
      </c>
      <c r="K36" s="130">
        <f t="shared" si="0"/>
        <v>1.6150000000000002</v>
      </c>
      <c r="L36" s="120">
        <f t="shared" si="0"/>
        <v>1.7249999999999999</v>
      </c>
      <c r="M36" s="121">
        <f t="shared" si="0"/>
        <v>1.7983333333333331</v>
      </c>
      <c r="N36" s="133">
        <f t="shared" si="1"/>
        <v>43888</v>
      </c>
      <c r="P36" s="122">
        <f>H36-E36</f>
        <v>-9.4999999999999973E-2</v>
      </c>
    </row>
    <row r="37" spans="1:16" ht="13" x14ac:dyDescent="0.3">
      <c r="A37" s="87">
        <f t="shared" si="5"/>
        <v>43889</v>
      </c>
      <c r="B37" s="123">
        <f t="shared" si="2"/>
        <v>1.53</v>
      </c>
      <c r="C37" s="124">
        <f t="shared" si="6"/>
        <v>1.73</v>
      </c>
      <c r="D37" s="125">
        <f t="shared" si="7"/>
        <v>1.8</v>
      </c>
      <c r="E37" s="116">
        <v>1.605</v>
      </c>
      <c r="F37" s="117">
        <v>1.675</v>
      </c>
      <c r="G37" s="118">
        <v>1.72</v>
      </c>
      <c r="H37" s="126">
        <f t="shared" si="11"/>
        <v>1.61</v>
      </c>
      <c r="I37" s="126">
        <f t="shared" si="11"/>
        <v>1.67</v>
      </c>
      <c r="J37" s="126">
        <f t="shared" si="11"/>
        <v>1.75</v>
      </c>
      <c r="K37" s="130">
        <f t="shared" si="0"/>
        <v>1.5816666666666668</v>
      </c>
      <c r="L37" s="120">
        <f t="shared" si="0"/>
        <v>1.6916666666666667</v>
      </c>
      <c r="M37" s="121">
        <f t="shared" si="0"/>
        <v>1.7566666666666666</v>
      </c>
      <c r="N37" s="136">
        <f t="shared" si="1"/>
        <v>43889</v>
      </c>
      <c r="P37" s="122">
        <f t="shared" si="4"/>
        <v>5.0000000000001155E-3</v>
      </c>
    </row>
    <row r="38" spans="1:16" s="134" customFormat="1" x14ac:dyDescent="0.25">
      <c r="A38" s="129">
        <f t="shared" si="5"/>
        <v>43890</v>
      </c>
      <c r="B38" s="123">
        <f t="shared" si="2"/>
        <v>1.53</v>
      </c>
      <c r="C38" s="124">
        <f t="shared" si="6"/>
        <v>1.73</v>
      </c>
      <c r="D38" s="125">
        <f t="shared" si="7"/>
        <v>1.8</v>
      </c>
      <c r="E38" s="116">
        <v>1.605</v>
      </c>
      <c r="F38" s="117">
        <v>1.675</v>
      </c>
      <c r="G38" s="118">
        <v>1.72</v>
      </c>
      <c r="H38" s="126">
        <f t="shared" si="11"/>
        <v>1.61</v>
      </c>
      <c r="I38" s="126">
        <f t="shared" si="11"/>
        <v>1.67</v>
      </c>
      <c r="J38" s="126">
        <f t="shared" si="11"/>
        <v>1.75</v>
      </c>
      <c r="K38" s="130">
        <f t="shared" ref="K38:M38" si="12">AVERAGE(B38,E38,H38)</f>
        <v>1.5816666666666668</v>
      </c>
      <c r="L38" s="131">
        <f t="shared" si="12"/>
        <v>1.6916666666666667</v>
      </c>
      <c r="M38" s="132">
        <f t="shared" si="12"/>
        <v>1.7566666666666666</v>
      </c>
      <c r="N38" s="133">
        <f t="shared" si="1"/>
        <v>43890</v>
      </c>
      <c r="P38" s="135">
        <f t="shared" si="4"/>
        <v>5.0000000000001155E-3</v>
      </c>
    </row>
    <row r="39" spans="1:16" x14ac:dyDescent="0.25">
      <c r="B39" s="123"/>
      <c r="C39" s="124"/>
      <c r="D39" s="125"/>
      <c r="E39" s="116"/>
      <c r="F39" s="117"/>
      <c r="G39" s="118"/>
      <c r="H39" s="126"/>
      <c r="I39" s="126"/>
      <c r="J39" s="126"/>
      <c r="K39" s="130"/>
      <c r="L39" s="120"/>
      <c r="M39" s="121"/>
      <c r="N39" s="133"/>
      <c r="P39" s="122"/>
    </row>
    <row r="40" spans="1:16" x14ac:dyDescent="0.25">
      <c r="B40" s="123"/>
      <c r="C40" s="124"/>
      <c r="D40" s="125"/>
      <c r="E40" s="116"/>
      <c r="F40" s="117"/>
      <c r="G40" s="118"/>
      <c r="H40" s="126"/>
      <c r="I40" s="126"/>
      <c r="J40" s="126"/>
      <c r="K40" s="130"/>
      <c r="L40" s="120"/>
      <c r="M40" s="121"/>
      <c r="N40" s="133"/>
      <c r="P40" s="122"/>
    </row>
    <row r="41" spans="1:16" x14ac:dyDescent="0.25">
      <c r="B41" s="123"/>
      <c r="C41" s="124"/>
      <c r="D41" s="125"/>
      <c r="E41" s="137"/>
      <c r="F41" s="138"/>
      <c r="G41" s="139"/>
      <c r="H41" s="137"/>
      <c r="I41" s="138"/>
      <c r="J41" s="139"/>
      <c r="K41" s="119"/>
      <c r="L41" s="120"/>
      <c r="M41" s="121"/>
    </row>
    <row r="42" spans="1:16" s="134" customFormat="1" ht="13" x14ac:dyDescent="0.3">
      <c r="A42" s="140" t="s">
        <v>90</v>
      </c>
      <c r="B42" s="141">
        <f t="shared" ref="B42:M42" si="13">AVERAGE(B10:B38)</f>
        <v>1.5300000000000007</v>
      </c>
      <c r="C42" s="141">
        <f t="shared" si="13"/>
        <v>1.7299999999999991</v>
      </c>
      <c r="D42" s="141">
        <f t="shared" si="13"/>
        <v>1.7999999999999992</v>
      </c>
      <c r="E42" s="141">
        <f t="shared" si="13"/>
        <v>1.6529310344827581</v>
      </c>
      <c r="F42" s="141">
        <f t="shared" si="13"/>
        <v>1.7581034482758617</v>
      </c>
      <c r="G42" s="141">
        <f t="shared" si="13"/>
        <v>1.8015517241379309</v>
      </c>
      <c r="H42" s="141">
        <f t="shared" si="13"/>
        <v>1.6544827586206894</v>
      </c>
      <c r="I42" s="141">
        <f t="shared" si="13"/>
        <v>1.7503448275862068</v>
      </c>
      <c r="J42" s="141">
        <f t="shared" si="13"/>
        <v>1.7986206896551715</v>
      </c>
      <c r="K42" s="141">
        <f t="shared" si="13"/>
        <v>1.6124712643678161</v>
      </c>
      <c r="L42" s="141">
        <f t="shared" si="13"/>
        <v>1.7461494252873568</v>
      </c>
      <c r="M42" s="141">
        <f t="shared" si="13"/>
        <v>1.8000574712643682</v>
      </c>
      <c r="N42" s="142"/>
    </row>
    <row r="43" spans="1:16" x14ac:dyDescent="0.25">
      <c r="B43" s="143"/>
      <c r="C43" s="143"/>
      <c r="D43" s="143"/>
      <c r="E43" s="143"/>
      <c r="F43" s="143"/>
      <c r="G43" s="143"/>
      <c r="H43" s="143"/>
      <c r="I43" s="143"/>
      <c r="J43" s="143"/>
      <c r="K43" s="144"/>
      <c r="L43" s="145"/>
    </row>
    <row r="44" spans="1:16" x14ac:dyDescent="0.25">
      <c r="B44" s="143"/>
      <c r="C44" s="143"/>
      <c r="D44" s="143"/>
      <c r="E44" s="143"/>
      <c r="F44" s="143"/>
      <c r="G44" s="143"/>
      <c r="H44" s="146"/>
      <c r="I44" s="143"/>
      <c r="J44" s="143"/>
      <c r="K44" s="144"/>
      <c r="L44" s="145"/>
    </row>
    <row r="45" spans="1:16" x14ac:dyDescent="0.25">
      <c r="B45" s="143"/>
      <c r="C45" s="143"/>
      <c r="D45" s="143"/>
      <c r="E45" s="143"/>
      <c r="F45" s="143"/>
      <c r="G45" s="143"/>
      <c r="H45" s="143"/>
      <c r="I45" s="143"/>
      <c r="J45" s="143"/>
      <c r="K45" s="144"/>
      <c r="L45" s="145"/>
    </row>
    <row r="46" spans="1:16" x14ac:dyDescent="0.25">
      <c r="B46" s="143"/>
      <c r="C46" s="143"/>
      <c r="D46" s="143"/>
      <c r="E46" s="143"/>
      <c r="F46" s="143"/>
      <c r="G46" s="143"/>
      <c r="H46" s="143"/>
      <c r="I46" s="143"/>
      <c r="J46" s="143"/>
      <c r="K46" s="144"/>
      <c r="L46" s="145"/>
    </row>
    <row r="47" spans="1:16" x14ac:dyDescent="0.25">
      <c r="B47" s="143"/>
      <c r="C47" s="143"/>
      <c r="D47" s="143"/>
      <c r="E47" s="143"/>
      <c r="F47" s="143"/>
      <c r="G47" s="143"/>
      <c r="H47" s="143"/>
      <c r="I47" s="143"/>
      <c r="J47" s="143"/>
      <c r="K47" s="144"/>
      <c r="L47" s="145"/>
    </row>
    <row r="48" spans="1:16" ht="13" x14ac:dyDescent="0.3">
      <c r="A48" s="147" t="s">
        <v>91</v>
      </c>
      <c r="B48" s="148"/>
      <c r="C48" s="148"/>
      <c r="D48" s="148"/>
      <c r="E48" s="148"/>
      <c r="F48" s="148"/>
      <c r="G48" s="148"/>
      <c r="H48" s="148"/>
      <c r="I48" s="148"/>
      <c r="J48" s="149"/>
      <c r="K48" s="144"/>
      <c r="L48" s="145"/>
    </row>
    <row r="49" spans="1:17" x14ac:dyDescent="0.25">
      <c r="A49" s="150"/>
      <c r="B49" s="120"/>
      <c r="C49" s="120"/>
      <c r="D49" s="120"/>
      <c r="E49" s="120"/>
      <c r="F49" s="120"/>
      <c r="G49" s="120"/>
      <c r="H49" s="120"/>
      <c r="I49" s="120"/>
      <c r="J49" s="151"/>
      <c r="K49" s="144"/>
      <c r="L49" s="145"/>
    </row>
    <row r="50" spans="1:17" ht="14" x14ac:dyDescent="0.3">
      <c r="A50" s="152"/>
      <c r="B50" s="153"/>
      <c r="C50" s="153"/>
      <c r="D50" s="153"/>
      <c r="E50" s="154" t="s">
        <v>92</v>
      </c>
      <c r="F50" s="154" t="s">
        <v>92</v>
      </c>
      <c r="G50" s="154" t="s">
        <v>93</v>
      </c>
      <c r="H50" s="153"/>
      <c r="I50" s="153"/>
      <c r="J50" s="155"/>
      <c r="L50" s="145"/>
      <c r="M50" s="156"/>
    </row>
    <row r="51" spans="1:17" ht="15" customHeight="1" x14ac:dyDescent="0.3">
      <c r="A51" s="152"/>
      <c r="B51" s="157" t="s">
        <v>42</v>
      </c>
      <c r="C51" s="157" t="s">
        <v>94</v>
      </c>
      <c r="D51" s="153"/>
      <c r="E51" s="157" t="s">
        <v>95</v>
      </c>
      <c r="F51" s="157" t="s">
        <v>96</v>
      </c>
      <c r="G51" s="157" t="s">
        <v>96</v>
      </c>
      <c r="H51" s="205" t="s">
        <v>97</v>
      </c>
      <c r="I51" s="205"/>
      <c r="J51" s="155"/>
      <c r="K51" s="158"/>
      <c r="L51" s="159"/>
      <c r="M51" s="156"/>
    </row>
    <row r="52" spans="1:17" ht="15" customHeight="1" x14ac:dyDescent="0.3">
      <c r="A52" s="152"/>
      <c r="B52" s="153" t="s">
        <v>55</v>
      </c>
      <c r="C52" s="153" t="s">
        <v>98</v>
      </c>
      <c r="D52" s="153"/>
      <c r="E52" s="160">
        <f>222270-116000-46190-38080-1000-1000</f>
        <v>20000</v>
      </c>
      <c r="F52" s="161">
        <f>441929.2-204682-116398.8-84918.4-1950-1980</f>
        <v>32000.000000000015</v>
      </c>
      <c r="G52" s="162">
        <f>E52*$K$42</f>
        <v>32249.42528735632</v>
      </c>
      <c r="H52" s="153"/>
      <c r="I52" s="163">
        <f>G52-F52</f>
        <v>249.42528735630549</v>
      </c>
      <c r="J52" s="155"/>
      <c r="L52" s="145"/>
      <c r="M52" s="156"/>
    </row>
    <row r="53" spans="1:17" ht="14" x14ac:dyDescent="0.3">
      <c r="A53" s="152"/>
      <c r="B53" s="153" t="s">
        <v>62</v>
      </c>
      <c r="C53" s="153" t="s">
        <v>99</v>
      </c>
      <c r="D53" s="153"/>
      <c r="E53" s="160">
        <v>0</v>
      </c>
      <c r="F53" s="161">
        <v>0</v>
      </c>
      <c r="G53" s="162">
        <f>E53*$L$42</f>
        <v>0</v>
      </c>
      <c r="H53" s="153"/>
      <c r="I53" s="163">
        <f t="shared" ref="I53:I54" si="14">G53-F53</f>
        <v>0</v>
      </c>
      <c r="J53" s="155"/>
      <c r="L53" s="145"/>
      <c r="M53" s="156"/>
    </row>
    <row r="54" spans="1:17" s="81" customFormat="1" ht="14" x14ac:dyDescent="0.3">
      <c r="A54" s="152"/>
      <c r="B54" s="153" t="s">
        <v>100</v>
      </c>
      <c r="C54" s="153">
        <v>500</v>
      </c>
      <c r="D54" s="153"/>
      <c r="E54" s="160">
        <v>0</v>
      </c>
      <c r="F54" s="161">
        <v>0</v>
      </c>
      <c r="G54" s="162">
        <f>E54*$M$42</f>
        <v>0</v>
      </c>
      <c r="H54" s="153"/>
      <c r="I54" s="163">
        <f t="shared" si="14"/>
        <v>0</v>
      </c>
      <c r="J54" s="155"/>
      <c r="L54" s="145"/>
      <c r="M54" s="156"/>
      <c r="O54" s="82"/>
      <c r="P54" s="82"/>
      <c r="Q54" s="82"/>
    </row>
    <row r="55" spans="1:17" s="81" customFormat="1" ht="14.5" thickBot="1" x14ac:dyDescent="0.35">
      <c r="A55" s="152"/>
      <c r="B55" s="153"/>
      <c r="C55" s="153"/>
      <c r="D55" s="153"/>
      <c r="E55" s="160"/>
      <c r="F55" s="161"/>
      <c r="G55" s="153"/>
      <c r="H55" s="153"/>
      <c r="I55" s="153"/>
      <c r="J55" s="155"/>
      <c r="L55" s="145"/>
      <c r="M55" s="156"/>
      <c r="O55" s="82"/>
      <c r="P55" s="82"/>
      <c r="Q55" s="82"/>
    </row>
    <row r="56" spans="1:17" s="81" customFormat="1" ht="14.5" thickBot="1" x14ac:dyDescent="0.35">
      <c r="A56" s="152"/>
      <c r="B56" s="153"/>
      <c r="C56" s="153"/>
      <c r="D56" s="153"/>
      <c r="E56" s="160"/>
      <c r="F56" s="161"/>
      <c r="G56" s="153"/>
      <c r="H56" s="164"/>
      <c r="I56" s="165">
        <f>SUM(I52:I55)</f>
        <v>249.42528735630549</v>
      </c>
      <c r="J56" s="155"/>
      <c r="L56" s="145"/>
      <c r="M56" s="156"/>
      <c r="O56" s="82"/>
      <c r="P56" s="82"/>
      <c r="Q56" s="82"/>
    </row>
    <row r="57" spans="1:17" s="81" customFormat="1" ht="14" x14ac:dyDescent="0.3">
      <c r="A57" s="166"/>
      <c r="B57" s="167"/>
      <c r="C57" s="167"/>
      <c r="D57" s="167"/>
      <c r="E57" s="168"/>
      <c r="F57" s="167"/>
      <c r="G57" s="167"/>
      <c r="H57" s="167"/>
      <c r="I57" s="167"/>
      <c r="J57" s="169"/>
      <c r="L57" s="145"/>
      <c r="M57" s="156"/>
      <c r="O57" s="82"/>
      <c r="P57" s="82"/>
      <c r="Q57" s="82"/>
    </row>
    <row r="58" spans="1:17" s="81" customFormat="1" ht="14" x14ac:dyDescent="0.3">
      <c r="A58" s="87"/>
      <c r="L58" s="145"/>
      <c r="M58" s="156"/>
      <c r="O58" s="82"/>
      <c r="P58" s="82"/>
      <c r="Q58" s="82"/>
    </row>
    <row r="59" spans="1:17" s="81" customFormat="1" ht="14" x14ac:dyDescent="0.3">
      <c r="A59" s="170"/>
      <c r="L59" s="145"/>
      <c r="M59" s="156"/>
      <c r="O59" s="82"/>
      <c r="P59" s="82"/>
      <c r="Q59" s="82"/>
    </row>
    <row r="60" spans="1:17" s="81" customFormat="1" ht="14" x14ac:dyDescent="0.3">
      <c r="A60" s="87"/>
      <c r="L60" s="145"/>
      <c r="M60" s="156"/>
      <c r="O60" s="82"/>
      <c r="P60" s="82"/>
      <c r="Q60" s="82"/>
    </row>
    <row r="61" spans="1:17" s="81" customFormat="1" x14ac:dyDescent="0.25">
      <c r="A61" s="87"/>
      <c r="B61" s="143"/>
      <c r="C61" s="143"/>
      <c r="D61" s="143"/>
      <c r="E61" s="143"/>
      <c r="F61" s="143"/>
      <c r="G61" s="143"/>
      <c r="H61" s="143"/>
      <c r="I61" s="143"/>
      <c r="J61" s="143"/>
      <c r="K61" s="144"/>
      <c r="L61" s="145"/>
      <c r="O61" s="82"/>
      <c r="P61" s="82"/>
      <c r="Q61" s="82"/>
    </row>
    <row r="62" spans="1:17" s="81" customFormat="1" ht="13" x14ac:dyDescent="0.3">
      <c r="A62" s="147" t="s">
        <v>101</v>
      </c>
      <c r="B62" s="148"/>
      <c r="C62" s="148"/>
      <c r="D62" s="148"/>
      <c r="E62" s="148"/>
      <c r="F62" s="148"/>
      <c r="G62" s="148"/>
      <c r="H62" s="148"/>
      <c r="I62" s="148"/>
      <c r="J62" s="149"/>
      <c r="K62" s="144"/>
      <c r="L62" s="145"/>
      <c r="O62" s="82"/>
      <c r="P62" s="82"/>
      <c r="Q62" s="82"/>
    </row>
    <row r="63" spans="1:17" s="81" customFormat="1" x14ac:dyDescent="0.25">
      <c r="A63" s="150"/>
      <c r="B63" s="120"/>
      <c r="C63" s="120"/>
      <c r="D63" s="120"/>
      <c r="E63" s="120"/>
      <c r="F63" s="120"/>
      <c r="G63" s="120"/>
      <c r="H63" s="120"/>
      <c r="I63" s="120"/>
      <c r="J63" s="151"/>
      <c r="K63" s="144"/>
      <c r="L63" s="145"/>
      <c r="O63" s="82"/>
      <c r="P63" s="82"/>
      <c r="Q63" s="82"/>
    </row>
    <row r="64" spans="1:17" s="81" customFormat="1" ht="13" x14ac:dyDescent="0.3">
      <c r="A64" s="152"/>
      <c r="B64" s="153"/>
      <c r="C64" s="153"/>
      <c r="D64" s="153"/>
      <c r="E64" s="154" t="s">
        <v>92</v>
      </c>
      <c r="F64" s="154" t="s">
        <v>92</v>
      </c>
      <c r="G64" s="154" t="s">
        <v>93</v>
      </c>
      <c r="H64" s="153"/>
      <c r="I64" s="153"/>
      <c r="J64" s="155"/>
      <c r="L64" s="145"/>
      <c r="M64" s="171"/>
      <c r="O64" s="82"/>
      <c r="P64" s="82"/>
      <c r="Q64" s="82"/>
    </row>
    <row r="65" spans="1:17" s="81" customFormat="1" ht="13" x14ac:dyDescent="0.3">
      <c r="A65" s="152"/>
      <c r="B65" s="157" t="s">
        <v>42</v>
      </c>
      <c r="C65" s="157" t="s">
        <v>94</v>
      </c>
      <c r="D65" s="153"/>
      <c r="E65" s="157" t="s">
        <v>95</v>
      </c>
      <c r="F65" s="157" t="s">
        <v>96</v>
      </c>
      <c r="G65" s="157" t="s">
        <v>96</v>
      </c>
      <c r="H65" s="205" t="s">
        <v>97</v>
      </c>
      <c r="I65" s="205"/>
      <c r="J65" s="155"/>
      <c r="L65" s="145"/>
      <c r="O65" s="82"/>
      <c r="P65" s="82"/>
      <c r="Q65" s="82"/>
    </row>
    <row r="66" spans="1:17" x14ac:dyDescent="0.25">
      <c r="A66" s="152"/>
      <c r="B66" s="153" t="s">
        <v>55</v>
      </c>
      <c r="C66" s="153" t="s">
        <v>98</v>
      </c>
      <c r="D66" s="153"/>
      <c r="E66" s="160">
        <f>177019-116000-1000-1000-39019</f>
        <v>20000</v>
      </c>
      <c r="F66" s="161">
        <f>338939.88-98327.88-208612</f>
        <v>32000</v>
      </c>
      <c r="G66" s="162">
        <f>E66*$K$42</f>
        <v>32249.42528735632</v>
      </c>
      <c r="H66" s="153"/>
      <c r="I66" s="163">
        <f>G66-F66</f>
        <v>249.42528735632004</v>
      </c>
      <c r="J66" s="155"/>
    </row>
    <row r="67" spans="1:17" s="81" customFormat="1" x14ac:dyDescent="0.25">
      <c r="A67" s="152"/>
      <c r="B67" s="153" t="s">
        <v>62</v>
      </c>
      <c r="C67" s="153" t="s">
        <v>99</v>
      </c>
      <c r="D67" s="153"/>
      <c r="E67" s="160">
        <v>0</v>
      </c>
      <c r="F67" s="161">
        <v>0</v>
      </c>
      <c r="G67" s="162">
        <f>E67*$L$42</f>
        <v>0</v>
      </c>
      <c r="H67" s="153"/>
      <c r="I67" s="163">
        <f t="shared" ref="I67:I68" si="15">G67-F67</f>
        <v>0</v>
      </c>
      <c r="J67" s="155"/>
      <c r="K67" s="144"/>
      <c r="L67" s="145"/>
      <c r="O67" s="82"/>
      <c r="P67" s="82"/>
      <c r="Q67" s="82"/>
    </row>
    <row r="68" spans="1:17" s="81" customFormat="1" x14ac:dyDescent="0.25">
      <c r="A68" s="152"/>
      <c r="B68" s="153" t="s">
        <v>100</v>
      </c>
      <c r="C68" s="153">
        <v>500</v>
      </c>
      <c r="D68" s="153"/>
      <c r="E68" s="160">
        <v>0</v>
      </c>
      <c r="F68" s="161">
        <v>0</v>
      </c>
      <c r="G68" s="162">
        <f>E68*$M$42</f>
        <v>0</v>
      </c>
      <c r="H68" s="153"/>
      <c r="I68" s="163">
        <f t="shared" si="15"/>
        <v>0</v>
      </c>
      <c r="J68" s="155"/>
      <c r="K68" s="144"/>
      <c r="L68" s="145"/>
      <c r="O68" s="82"/>
      <c r="P68" s="82"/>
      <c r="Q68" s="82"/>
    </row>
    <row r="69" spans="1:17" s="81" customFormat="1" ht="13" thickBot="1" x14ac:dyDescent="0.3">
      <c r="A69" s="152"/>
      <c r="B69" s="153"/>
      <c r="C69" s="153"/>
      <c r="D69" s="153"/>
      <c r="E69" s="160"/>
      <c r="F69" s="161"/>
      <c r="G69" s="153"/>
      <c r="H69" s="153"/>
      <c r="I69" s="153"/>
      <c r="J69" s="155"/>
      <c r="K69" s="144"/>
      <c r="L69" s="145"/>
      <c r="O69" s="82"/>
      <c r="P69" s="82"/>
      <c r="Q69" s="82"/>
    </row>
    <row r="70" spans="1:17" s="81" customFormat="1" ht="13" thickBot="1" x14ac:dyDescent="0.3">
      <c r="A70" s="152"/>
      <c r="B70" s="153"/>
      <c r="C70" s="153"/>
      <c r="D70" s="153"/>
      <c r="E70" s="160"/>
      <c r="F70" s="161"/>
      <c r="G70" s="153"/>
      <c r="H70" s="164"/>
      <c r="I70" s="165">
        <f>SUM(I66:I69)</f>
        <v>249.42528735632004</v>
      </c>
      <c r="J70" s="155"/>
      <c r="L70" s="145"/>
      <c r="M70" s="171"/>
      <c r="O70" s="82"/>
      <c r="P70" s="82"/>
      <c r="Q70" s="82"/>
    </row>
    <row r="71" spans="1:17" s="81" customFormat="1" x14ac:dyDescent="0.25">
      <c r="A71" s="166"/>
      <c r="B71" s="167"/>
      <c r="C71" s="167"/>
      <c r="D71" s="167"/>
      <c r="E71" s="168"/>
      <c r="F71" s="167"/>
      <c r="G71" s="167"/>
      <c r="H71" s="167"/>
      <c r="I71" s="167"/>
      <c r="J71" s="169"/>
      <c r="L71" s="145"/>
      <c r="O71" s="82"/>
      <c r="P71" s="82"/>
      <c r="Q71" s="82"/>
    </row>
    <row r="72" spans="1:17" s="81" customFormat="1" x14ac:dyDescent="0.25">
      <c r="A72" s="87"/>
      <c r="L72" s="145"/>
      <c r="O72" s="82"/>
      <c r="P72" s="82"/>
      <c r="Q72" s="82"/>
    </row>
    <row r="73" spans="1:17" ht="13" x14ac:dyDescent="0.3">
      <c r="A73" s="170"/>
    </row>
    <row r="74" spans="1:17" s="81" customFormat="1" x14ac:dyDescent="0.25">
      <c r="A74" s="87"/>
      <c r="L74" s="145"/>
      <c r="M74" s="171"/>
      <c r="O74" s="82"/>
      <c r="P74" s="82"/>
      <c r="Q74" s="82"/>
    </row>
    <row r="75" spans="1:17" s="81" customFormat="1" x14ac:dyDescent="0.25">
      <c r="A75" s="87"/>
      <c r="B75" s="143"/>
      <c r="C75" s="143"/>
      <c r="D75" s="143"/>
      <c r="E75" s="143"/>
      <c r="F75" s="143"/>
      <c r="G75" s="143"/>
      <c r="H75" s="143"/>
      <c r="I75" s="143"/>
      <c r="J75" s="143"/>
      <c r="K75" s="144"/>
      <c r="L75" s="145"/>
      <c r="O75" s="82"/>
      <c r="P75" s="82"/>
      <c r="Q75" s="82"/>
    </row>
    <row r="76" spans="1:17" s="81" customFormat="1" x14ac:dyDescent="0.25">
      <c r="A76" s="87"/>
      <c r="B76" s="143"/>
      <c r="C76" s="143"/>
      <c r="D76" s="143"/>
      <c r="E76" s="143"/>
      <c r="F76" s="143"/>
      <c r="G76" s="143"/>
      <c r="H76" s="143"/>
      <c r="I76" s="143"/>
      <c r="J76" s="143"/>
      <c r="K76" s="144"/>
      <c r="L76" s="145"/>
      <c r="M76" s="143"/>
      <c r="O76" s="82"/>
      <c r="P76" s="82"/>
      <c r="Q76" s="82"/>
    </row>
    <row r="77" spans="1:17" s="81" customFormat="1" x14ac:dyDescent="0.25">
      <c r="A77" s="87"/>
      <c r="B77" s="143"/>
      <c r="C77" s="143"/>
      <c r="D77" s="143"/>
      <c r="E77" s="143"/>
      <c r="F77" s="143"/>
      <c r="G77" s="143"/>
      <c r="H77" s="143"/>
      <c r="I77" s="143"/>
      <c r="J77" s="143"/>
      <c r="K77" s="144"/>
      <c r="L77" s="145"/>
      <c r="O77" s="82"/>
      <c r="P77" s="82"/>
      <c r="Q77" s="82"/>
    </row>
    <row r="78" spans="1:17" s="81" customFormat="1" x14ac:dyDescent="0.25">
      <c r="A78" s="87"/>
      <c r="B78" s="143"/>
      <c r="C78" s="143"/>
      <c r="D78" s="143"/>
      <c r="E78" s="143"/>
      <c r="F78" s="143"/>
      <c r="G78" s="143"/>
      <c r="H78" s="143"/>
      <c r="I78" s="143"/>
      <c r="J78" s="143"/>
      <c r="K78" s="144"/>
      <c r="L78" s="145"/>
      <c r="M78" s="171"/>
      <c r="O78" s="82"/>
      <c r="P78" s="82"/>
      <c r="Q78" s="82"/>
    </row>
    <row r="79" spans="1:17" s="81" customFormat="1" x14ac:dyDescent="0.25">
      <c r="A79" s="87"/>
      <c r="B79" s="143"/>
      <c r="C79" s="143"/>
      <c r="D79" s="143"/>
      <c r="E79" s="143"/>
      <c r="F79" s="143"/>
      <c r="G79" s="143"/>
      <c r="H79" s="143"/>
      <c r="I79" s="143"/>
      <c r="J79" s="143"/>
      <c r="K79" s="144"/>
      <c r="L79" s="145"/>
      <c r="O79" s="82"/>
      <c r="P79" s="82"/>
      <c r="Q79" s="82"/>
    </row>
    <row r="80" spans="1:17" s="81" customFormat="1" x14ac:dyDescent="0.25">
      <c r="A80" s="87"/>
      <c r="L80" s="145"/>
      <c r="O80" s="82"/>
      <c r="P80" s="82"/>
      <c r="Q80" s="82"/>
    </row>
    <row r="81" spans="1:17" s="81" customFormat="1" x14ac:dyDescent="0.25">
      <c r="A81" s="87"/>
      <c r="L81" s="145"/>
      <c r="O81" s="82"/>
      <c r="P81" s="82"/>
      <c r="Q81" s="82"/>
    </row>
    <row r="82" spans="1:17" s="81" customFormat="1" x14ac:dyDescent="0.25">
      <c r="A82" s="87"/>
      <c r="B82" s="143"/>
      <c r="C82" s="143"/>
      <c r="D82" s="143"/>
      <c r="E82" s="143"/>
      <c r="F82" s="143"/>
      <c r="G82" s="143"/>
      <c r="H82" s="143"/>
      <c r="I82" s="143"/>
      <c r="J82" s="143"/>
      <c r="L82" s="145"/>
      <c r="M82" s="171"/>
      <c r="O82" s="82"/>
      <c r="P82" s="82"/>
      <c r="Q82" s="82"/>
    </row>
  </sheetData>
  <mergeCells count="8">
    <mergeCell ref="H51:I51"/>
    <mergeCell ref="H65:I65"/>
    <mergeCell ref="H6:J6"/>
    <mergeCell ref="K6:M6"/>
    <mergeCell ref="B7:D7"/>
    <mergeCell ref="E7:G7"/>
    <mergeCell ref="H7:J7"/>
    <mergeCell ref="K7:M7"/>
  </mergeCells>
  <pageMargins left="0" right="0" top="0.53" bottom="0.74" header="0.21" footer="0.4"/>
  <pageSetup scale="74" fitToHeight="0" orientation="portrait" r:id="rId1"/>
  <headerFooter alignWithMargins="0">
    <oddHeader xml:space="preserve">&amp;RKY PSC CN 2020-00378  
 Staff's Data Request Set 1 No. 5 Attachment C  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view="pageLayout" zoomScaleNormal="100" zoomScaleSheetLayoutView="100" workbookViewId="0">
      <selection activeCell="H2" sqref="H2"/>
    </sheetView>
  </sheetViews>
  <sheetFormatPr defaultColWidth="9.1796875" defaultRowHeight="15.5" x14ac:dyDescent="0.35"/>
  <cols>
    <col min="1" max="1" width="4.26953125" style="2" customWidth="1"/>
    <col min="2" max="2" width="16.7265625" style="2" customWidth="1"/>
    <col min="3" max="3" width="18.54296875" style="2" customWidth="1"/>
    <col min="4" max="4" width="16.1796875" style="2" customWidth="1"/>
    <col min="5" max="5" width="5.54296875" style="2" customWidth="1"/>
    <col min="6" max="6" width="18" style="2" customWidth="1"/>
    <col min="7" max="7" width="5.1796875" style="2" customWidth="1"/>
    <col min="8" max="8" width="32.54296875" style="2" customWidth="1"/>
    <col min="9" max="9" width="12" style="2" bestFit="1" customWidth="1"/>
    <col min="10" max="16384" width="9.1796875" style="2"/>
  </cols>
  <sheetData>
    <row r="1" spans="1:9" ht="18.5" x14ac:dyDescent="0.45">
      <c r="A1" s="1" t="s">
        <v>0</v>
      </c>
    </row>
    <row r="2" spans="1:9" ht="18.5" x14ac:dyDescent="0.45">
      <c r="A2" s="1" t="s">
        <v>1</v>
      </c>
    </row>
    <row r="3" spans="1:9" ht="18.5" x14ac:dyDescent="0.45">
      <c r="A3" s="3" t="s">
        <v>2</v>
      </c>
      <c r="C3" s="4">
        <v>43891</v>
      </c>
    </row>
    <row r="5" spans="1:9" x14ac:dyDescent="0.35">
      <c r="B5" s="5"/>
      <c r="C5" s="5"/>
      <c r="D5" s="6">
        <f>C3</f>
        <v>43891</v>
      </c>
      <c r="E5" s="7"/>
      <c r="F5" s="6">
        <f>C3</f>
        <v>43891</v>
      </c>
      <c r="G5" s="6"/>
      <c r="H5" s="7"/>
    </row>
    <row r="6" spans="1:9" x14ac:dyDescent="0.35">
      <c r="A6" s="8" t="s">
        <v>3</v>
      </c>
      <c r="B6" s="9" t="s">
        <v>4</v>
      </c>
      <c r="C6" s="9"/>
      <c r="D6" s="10" t="s">
        <v>5</v>
      </c>
      <c r="E6" s="11"/>
      <c r="F6" s="10" t="s">
        <v>6</v>
      </c>
      <c r="G6" s="10"/>
      <c r="H6" s="12"/>
    </row>
    <row r="7" spans="1:9" x14ac:dyDescent="0.35">
      <c r="A7" s="13">
        <v>1</v>
      </c>
      <c r="B7" s="12" t="s">
        <v>7</v>
      </c>
      <c r="C7" s="12"/>
      <c r="D7" s="14">
        <f>D24*0.3</f>
        <v>13887.211079999997</v>
      </c>
      <c r="E7" s="15"/>
      <c r="F7" s="14">
        <f>F24*0.3</f>
        <v>13887.99726</v>
      </c>
      <c r="G7" s="15"/>
      <c r="H7" s="16" t="s">
        <v>8</v>
      </c>
    </row>
    <row r="8" spans="1:9" x14ac:dyDescent="0.35">
      <c r="A8" s="13">
        <f>A7+1</f>
        <v>2</v>
      </c>
      <c r="B8" s="12" t="s">
        <v>7</v>
      </c>
      <c r="C8" s="12"/>
      <c r="D8" s="17">
        <f>IF(D24&gt;0,(D16-D24)*0.5,0)</f>
        <v>14536.778200000008</v>
      </c>
      <c r="E8" s="18"/>
      <c r="F8" s="17">
        <f>IF(F24&gt;0,(F16-F24)*0.5,0)</f>
        <v>14442.767899999999</v>
      </c>
      <c r="G8" s="18"/>
      <c r="H8" s="16" t="s">
        <v>9</v>
      </c>
    </row>
    <row r="9" spans="1:9" x14ac:dyDescent="0.35">
      <c r="A9" s="13">
        <f>A8+1</f>
        <v>3</v>
      </c>
      <c r="B9" s="19" t="s">
        <v>10</v>
      </c>
      <c r="C9" s="19"/>
      <c r="D9" s="20">
        <f>D7+D8</f>
        <v>28423.989280000005</v>
      </c>
      <c r="E9" s="21"/>
      <c r="F9" s="20">
        <f>F7+F8</f>
        <v>28330.765159999999</v>
      </c>
      <c r="G9" s="21"/>
      <c r="H9" s="22"/>
    </row>
    <row r="10" spans="1:9" x14ac:dyDescent="0.35">
      <c r="A10" s="13"/>
      <c r="B10" s="12"/>
      <c r="C10" s="12"/>
      <c r="D10" s="24"/>
      <c r="E10" s="25"/>
      <c r="F10" s="25"/>
      <c r="G10" s="25"/>
      <c r="H10" s="22"/>
      <c r="I10" s="23"/>
    </row>
    <row r="11" spans="1:9" x14ac:dyDescent="0.35">
      <c r="A11" s="13">
        <f>A9+1</f>
        <v>4</v>
      </c>
      <c r="B11" s="12" t="s">
        <v>11</v>
      </c>
      <c r="C11" s="12"/>
      <c r="D11" s="26">
        <v>47720.07</v>
      </c>
      <c r="E11" s="27"/>
      <c r="F11" s="26">
        <v>47720.07</v>
      </c>
      <c r="G11" s="28"/>
      <c r="H11" s="22"/>
    </row>
    <row r="12" spans="1:9" x14ac:dyDescent="0.35">
      <c r="A12" s="13">
        <f>A11+1</f>
        <v>5</v>
      </c>
      <c r="B12" s="12" t="s">
        <v>12</v>
      </c>
      <c r="C12" s="12"/>
      <c r="D12" s="29">
        <v>18053.28</v>
      </c>
      <c r="E12" s="30"/>
      <c r="F12" s="26">
        <v>17867.88</v>
      </c>
      <c r="G12" s="31"/>
      <c r="H12" s="22"/>
    </row>
    <row r="13" spans="1:9" x14ac:dyDescent="0.35">
      <c r="A13" s="13">
        <f>A12+1</f>
        <v>6</v>
      </c>
      <c r="B13" s="12" t="s">
        <v>13</v>
      </c>
      <c r="C13" s="32" t="s">
        <v>14</v>
      </c>
      <c r="D13" s="29">
        <v>88</v>
      </c>
      <c r="E13" s="30"/>
      <c r="F13" s="26">
        <v>88</v>
      </c>
      <c r="G13" s="31"/>
      <c r="H13" s="33"/>
    </row>
    <row r="14" spans="1:9" x14ac:dyDescent="0.35">
      <c r="A14" s="13"/>
      <c r="B14" s="12"/>
      <c r="C14" s="32" t="s">
        <v>15</v>
      </c>
      <c r="D14" s="29">
        <v>9502.91</v>
      </c>
      <c r="E14" s="34" t="s">
        <v>16</v>
      </c>
      <c r="F14" s="29">
        <v>9502.91</v>
      </c>
      <c r="G14" s="31"/>
      <c r="H14" s="33"/>
    </row>
    <row r="15" spans="1:9" x14ac:dyDescent="0.35">
      <c r="A15" s="13"/>
      <c r="B15" s="12"/>
      <c r="D15" s="35"/>
      <c r="E15" s="30"/>
      <c r="F15" s="31"/>
      <c r="G15" s="31"/>
      <c r="H15" s="36"/>
    </row>
    <row r="16" spans="1:9" x14ac:dyDescent="0.35">
      <c r="A16" s="13">
        <v>7</v>
      </c>
      <c r="B16" s="12" t="s">
        <v>17</v>
      </c>
      <c r="C16" s="12"/>
      <c r="D16" s="37">
        <f>D11+D12+D13+D14</f>
        <v>75364.260000000009</v>
      </c>
      <c r="E16" s="15"/>
      <c r="F16" s="14">
        <f>F11+F12+F13+F14</f>
        <v>75178.86</v>
      </c>
      <c r="G16" s="15"/>
      <c r="H16" s="38"/>
    </row>
    <row r="17" spans="1:9" x14ac:dyDescent="0.35">
      <c r="D17" s="39"/>
      <c r="H17" s="38"/>
    </row>
    <row r="18" spans="1:9" x14ac:dyDescent="0.35">
      <c r="A18" s="13">
        <f>A16+1</f>
        <v>8</v>
      </c>
      <c r="B18" s="12" t="s">
        <v>18</v>
      </c>
      <c r="C18" s="12"/>
      <c r="D18" s="37">
        <f>D19+D20+D21+D22</f>
        <v>2314535.1799999997</v>
      </c>
      <c r="E18" s="31"/>
      <c r="F18" s="37">
        <f>F19+F20+F21+F22</f>
        <v>2314666.21</v>
      </c>
      <c r="G18" s="31"/>
      <c r="H18" s="23"/>
    </row>
    <row r="19" spans="1:9" x14ac:dyDescent="0.35">
      <c r="A19" s="13"/>
      <c r="B19" s="12"/>
      <c r="C19" s="12" t="s">
        <v>19</v>
      </c>
      <c r="D19" s="29">
        <f>519736.65-84918.4-73935</f>
        <v>360883.25</v>
      </c>
      <c r="E19" s="31"/>
      <c r="F19" s="29">
        <v>360883.25</v>
      </c>
      <c r="G19" s="31"/>
      <c r="H19" s="23"/>
      <c r="I19" s="23"/>
    </row>
    <row r="20" spans="1:9" x14ac:dyDescent="0.35">
      <c r="A20" s="13"/>
      <c r="B20" s="12"/>
      <c r="C20" s="12" t="s">
        <v>102</v>
      </c>
      <c r="D20" s="29">
        <v>73935</v>
      </c>
      <c r="E20" s="31" t="s">
        <v>21</v>
      </c>
      <c r="F20" s="29">
        <v>63389.25</v>
      </c>
      <c r="G20" s="31" t="s">
        <v>22</v>
      </c>
    </row>
    <row r="21" spans="1:9" x14ac:dyDescent="0.35">
      <c r="A21" s="13"/>
      <c r="B21" s="12"/>
      <c r="C21" s="12" t="s">
        <v>23</v>
      </c>
      <c r="D21" s="29">
        <v>0</v>
      </c>
      <c r="E21" s="31"/>
      <c r="F21" s="29">
        <v>0</v>
      </c>
      <c r="G21" s="31"/>
    </row>
    <row r="22" spans="1:9" x14ac:dyDescent="0.35">
      <c r="A22" s="13"/>
      <c r="B22" s="12"/>
      <c r="C22" s="12" t="s">
        <v>24</v>
      </c>
      <c r="D22" s="29">
        <v>1879716.93</v>
      </c>
      <c r="E22" s="31"/>
      <c r="F22" s="29">
        <v>1890393.71</v>
      </c>
      <c r="G22" s="31"/>
    </row>
    <row r="23" spans="1:9" x14ac:dyDescent="0.35">
      <c r="A23" s="13"/>
      <c r="B23" s="12"/>
      <c r="C23" s="12"/>
      <c r="D23" s="29"/>
      <c r="E23" s="31"/>
      <c r="F23" s="29"/>
      <c r="G23" s="31"/>
    </row>
    <row r="24" spans="1:9" x14ac:dyDescent="0.35">
      <c r="A24" s="13">
        <v>9</v>
      </c>
      <c r="B24" s="12" t="s">
        <v>25</v>
      </c>
      <c r="C24" s="12"/>
      <c r="D24" s="38">
        <f>IF((D16/D18)&gt;=0.02,0.02*D18,D16)</f>
        <v>46290.703599999993</v>
      </c>
      <c r="E24" s="40"/>
      <c r="F24" s="38">
        <f>IF((F16/F18)&gt;=0.02,0.02*F18,F16)</f>
        <v>46293.324200000003</v>
      </c>
      <c r="G24" s="40"/>
      <c r="H24" s="12"/>
    </row>
    <row r="25" spans="1:9" x14ac:dyDescent="0.35">
      <c r="A25" s="13"/>
      <c r="B25" s="12"/>
      <c r="C25" s="12"/>
      <c r="D25" s="40"/>
      <c r="E25" s="40"/>
      <c r="F25" s="40"/>
      <c r="G25" s="40"/>
      <c r="H25" s="12"/>
    </row>
    <row r="26" spans="1:9" x14ac:dyDescent="0.35">
      <c r="A26" s="13">
        <f>A24+1</f>
        <v>10</v>
      </c>
      <c r="B26" s="12" t="s">
        <v>26</v>
      </c>
      <c r="C26" s="12"/>
      <c r="D26" s="41">
        <f>(D11+D12+D13+D14)/D18</f>
        <v>3.2561293797228011E-2</v>
      </c>
      <c r="E26" s="41"/>
      <c r="F26" s="41">
        <f>(F11+F12+F13+F14)/F18</f>
        <v>3.247935260609347E-2</v>
      </c>
      <c r="G26" s="41"/>
      <c r="H26" s="12"/>
    </row>
    <row r="27" spans="1:9" x14ac:dyDescent="0.35">
      <c r="B27" s="12"/>
      <c r="C27" s="12"/>
      <c r="D27" s="41"/>
      <c r="E27" s="41"/>
      <c r="F27" s="41"/>
      <c r="G27" s="41"/>
      <c r="H27" s="12"/>
    </row>
    <row r="28" spans="1:9" x14ac:dyDescent="0.35">
      <c r="B28" s="12"/>
      <c r="C28" s="12"/>
      <c r="D28" s="41"/>
      <c r="E28" s="41"/>
      <c r="F28" s="41"/>
      <c r="G28" s="41"/>
      <c r="H28" s="12"/>
    </row>
    <row r="29" spans="1:9" x14ac:dyDescent="0.35">
      <c r="A29" s="204" t="s">
        <v>27</v>
      </c>
      <c r="B29" s="204"/>
      <c r="C29" s="42"/>
    </row>
    <row r="30" spans="1:9" ht="15.75" customHeight="1" x14ac:dyDescent="0.35">
      <c r="A30" s="43" t="s">
        <v>28</v>
      </c>
      <c r="B30" s="44"/>
      <c r="C30" s="44"/>
      <c r="D30" s="45" t="s">
        <v>29</v>
      </c>
    </row>
    <row r="31" spans="1:9" ht="15.75" customHeight="1" x14ac:dyDescent="0.35">
      <c r="A31" s="43" t="s">
        <v>30</v>
      </c>
      <c r="B31" s="43"/>
      <c r="C31" s="44"/>
    </row>
    <row r="32" spans="1:9" ht="15" customHeight="1" x14ac:dyDescent="0.35">
      <c r="A32" s="43" t="s">
        <v>31</v>
      </c>
      <c r="B32" s="43"/>
      <c r="C32" s="44"/>
    </row>
    <row r="33" spans="1:3" ht="15.75" customHeight="1" x14ac:dyDescent="0.35">
      <c r="A33" s="43" t="s">
        <v>32</v>
      </c>
      <c r="B33" s="43"/>
      <c r="C33" s="44"/>
    </row>
    <row r="34" spans="1:3" ht="15.75" customHeight="1" x14ac:dyDescent="0.35">
      <c r="A34" s="43" t="s">
        <v>33</v>
      </c>
      <c r="B34" s="43"/>
      <c r="C34" s="44"/>
    </row>
    <row r="35" spans="1:3" ht="15.75" customHeight="1" x14ac:dyDescent="0.35">
      <c r="A35" s="43" t="s">
        <v>34</v>
      </c>
      <c r="B35" s="43"/>
      <c r="C35" s="44"/>
    </row>
    <row r="36" spans="1:3" ht="15.75" customHeight="1" x14ac:dyDescent="0.35">
      <c r="A36" s="43" t="s">
        <v>35</v>
      </c>
      <c r="B36" s="43"/>
      <c r="C36" s="44"/>
    </row>
    <row r="37" spans="1:3" ht="15.75" customHeight="1" x14ac:dyDescent="0.35">
      <c r="A37" s="43" t="s">
        <v>36</v>
      </c>
      <c r="B37" s="43"/>
      <c r="C37" s="44"/>
    </row>
    <row r="39" spans="1:3" x14ac:dyDescent="0.35">
      <c r="A39" s="46" t="s">
        <v>37</v>
      </c>
    </row>
    <row r="41" spans="1:3" x14ac:dyDescent="0.35">
      <c r="A41" s="47"/>
    </row>
    <row r="42" spans="1:3" x14ac:dyDescent="0.35">
      <c r="A42" s="47"/>
    </row>
    <row r="43" spans="1:3" x14ac:dyDescent="0.35">
      <c r="A43" s="47"/>
    </row>
  </sheetData>
  <mergeCells count="1">
    <mergeCell ref="A29:B29"/>
  </mergeCells>
  <pageMargins left="0.25" right="0.25" top="0.75" bottom="0.75" header="0.3" footer="0.3"/>
  <pageSetup scale="86" orientation="portrait" r:id="rId1"/>
  <headerFooter>
    <oddHeader xml:space="preserve">&amp;RKY PSC CN 2020-00378  
 Staff's Data Request Set 1 No. 5 Attachment C  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Layout" topLeftCell="B1" zoomScaleNormal="100" workbookViewId="0">
      <selection activeCell="L1" sqref="L1"/>
    </sheetView>
  </sheetViews>
  <sheetFormatPr defaultRowHeight="14.5" x14ac:dyDescent="0.35"/>
  <cols>
    <col min="1" max="1" width="15.26953125" customWidth="1"/>
    <col min="2" max="2" width="11.7265625" style="48" customWidth="1"/>
    <col min="3" max="3" width="9.26953125" style="48" customWidth="1"/>
    <col min="4" max="4" width="9.81640625" style="48" customWidth="1"/>
    <col min="5" max="5" width="7.81640625" style="48" customWidth="1"/>
    <col min="6" max="6" width="9.7265625" style="48" customWidth="1"/>
    <col min="7" max="7" width="10" style="49" customWidth="1"/>
    <col min="8" max="8" width="23.54296875" customWidth="1"/>
    <col min="9" max="9" width="1.453125" customWidth="1"/>
    <col min="10" max="10" width="15.26953125" style="50" customWidth="1"/>
    <col min="11" max="11" width="3.7265625" style="50" customWidth="1"/>
    <col min="12" max="12" width="22.453125" customWidth="1"/>
    <col min="14" max="14" width="16" customWidth="1"/>
    <col min="15" max="15" width="12.81640625" customWidth="1"/>
    <col min="16" max="16" width="11.81640625" bestFit="1" customWidth="1"/>
  </cols>
  <sheetData>
    <row r="1" spans="1:14" ht="18.5" x14ac:dyDescent="0.45">
      <c r="A1" s="1" t="s">
        <v>38</v>
      </c>
    </row>
    <row r="2" spans="1:14" ht="18.5" x14ac:dyDescent="0.45">
      <c r="A2" s="1"/>
    </row>
    <row r="3" spans="1:14" ht="18.5" x14ac:dyDescent="0.45">
      <c r="A3" s="1" t="s">
        <v>39</v>
      </c>
      <c r="B3" s="51">
        <f>'March 20 TCPS CALC'!C3</f>
        <v>43891</v>
      </c>
      <c r="C3" s="52"/>
    </row>
    <row r="5" spans="1:14" x14ac:dyDescent="0.35">
      <c r="D5" s="53" t="s">
        <v>40</v>
      </c>
      <c r="E5" s="53" t="s">
        <v>41</v>
      </c>
    </row>
    <row r="6" spans="1:14" x14ac:dyDescent="0.35">
      <c r="C6" s="54" t="s">
        <v>42</v>
      </c>
      <c r="D6" s="54" t="s">
        <v>43</v>
      </c>
      <c r="E6" s="54" t="s">
        <v>44</v>
      </c>
      <c r="F6" s="54" t="s">
        <v>45</v>
      </c>
      <c r="G6" s="55" t="s">
        <v>46</v>
      </c>
      <c r="H6" s="54" t="s">
        <v>47</v>
      </c>
      <c r="J6" s="56" t="s">
        <v>48</v>
      </c>
      <c r="K6" s="56"/>
      <c r="L6" s="56" t="s">
        <v>49</v>
      </c>
    </row>
    <row r="7" spans="1:14" x14ac:dyDescent="0.35">
      <c r="A7" t="s">
        <v>50</v>
      </c>
      <c r="B7" s="48" t="s">
        <v>51</v>
      </c>
      <c r="C7" s="48" t="s">
        <v>52</v>
      </c>
      <c r="D7" s="48">
        <v>352234</v>
      </c>
      <c r="E7" s="48" t="s">
        <v>53</v>
      </c>
      <c r="F7" s="57">
        <v>16000</v>
      </c>
      <c r="G7" s="58">
        <v>4.5805999999999996</v>
      </c>
      <c r="H7" s="59" t="s">
        <v>54</v>
      </c>
      <c r="J7" s="50">
        <f>F7*G7</f>
        <v>73289.599999999991</v>
      </c>
      <c r="K7" s="60"/>
      <c r="L7" s="50">
        <f>F7*G7</f>
        <v>73289.599999999991</v>
      </c>
      <c r="M7" s="61"/>
      <c r="N7" s="50"/>
    </row>
    <row r="8" spans="1:14" x14ac:dyDescent="0.35">
      <c r="C8" s="48" t="s">
        <v>55</v>
      </c>
      <c r="D8" s="48">
        <v>80160</v>
      </c>
      <c r="E8" s="48" t="s">
        <v>56</v>
      </c>
      <c r="F8" s="57">
        <v>190880</v>
      </c>
      <c r="G8" s="58">
        <v>4.1849999999999996</v>
      </c>
      <c r="H8" s="59" t="s">
        <v>54</v>
      </c>
      <c r="J8" s="50">
        <f>F8*G8</f>
        <v>798832.79999999993</v>
      </c>
      <c r="K8" s="60"/>
      <c r="L8" s="50">
        <f>F8*G8</f>
        <v>798832.79999999993</v>
      </c>
      <c r="N8" s="50"/>
    </row>
    <row r="9" spans="1:14" x14ac:dyDescent="0.35">
      <c r="C9" s="48" t="s">
        <v>55</v>
      </c>
      <c r="D9" s="48">
        <v>81540</v>
      </c>
      <c r="E9" s="48" t="s">
        <v>56</v>
      </c>
      <c r="F9" s="57">
        <v>30000</v>
      </c>
      <c r="G9" s="58">
        <v>4.1849999999999996</v>
      </c>
      <c r="H9" s="59" t="s">
        <v>54</v>
      </c>
      <c r="J9" s="62">
        <f>F9*G9</f>
        <v>125549.99999999999</v>
      </c>
      <c r="K9" s="60"/>
      <c r="L9" s="50">
        <f>F9*G9</f>
        <v>125549.99999999999</v>
      </c>
      <c r="N9" s="50"/>
    </row>
    <row r="10" spans="1:14" x14ac:dyDescent="0.35">
      <c r="F10" s="57"/>
      <c r="G10" s="58"/>
      <c r="H10" s="59"/>
      <c r="J10" s="50">
        <f>SUM(J7:J9)</f>
        <v>997672.39999999991</v>
      </c>
      <c r="K10" s="63"/>
      <c r="L10" s="50">
        <f>SUM(L7:L9)</f>
        <v>997672.39999999991</v>
      </c>
    </row>
    <row r="11" spans="1:14" x14ac:dyDescent="0.35">
      <c r="D11" s="48">
        <v>0</v>
      </c>
      <c r="F11" s="57"/>
      <c r="G11" s="58"/>
      <c r="H11" s="59"/>
      <c r="K11" s="63"/>
      <c r="L11" s="50"/>
    </row>
    <row r="12" spans="1:14" x14ac:dyDescent="0.35">
      <c r="D12" s="48">
        <v>0</v>
      </c>
      <c r="F12" s="64"/>
      <c r="G12" s="65" t="s">
        <v>57</v>
      </c>
      <c r="H12" s="59"/>
      <c r="K12" s="63"/>
      <c r="L12" s="50"/>
    </row>
    <row r="13" spans="1:14" x14ac:dyDescent="0.35">
      <c r="A13" t="s">
        <v>58</v>
      </c>
      <c r="B13" s="48" t="s">
        <v>59</v>
      </c>
      <c r="C13" s="48" t="s">
        <v>52</v>
      </c>
      <c r="D13" s="48">
        <v>352234</v>
      </c>
      <c r="E13" s="48" t="s">
        <v>53</v>
      </c>
      <c r="F13" s="57">
        <v>16000</v>
      </c>
      <c r="G13" s="58">
        <v>4.5805999999999996</v>
      </c>
      <c r="H13" s="59" t="s">
        <v>60</v>
      </c>
      <c r="J13" s="50">
        <f>F13*G13</f>
        <v>73289.599999999991</v>
      </c>
      <c r="K13" s="60"/>
      <c r="L13" s="66">
        <f>F13*G13</f>
        <v>73289.599999999991</v>
      </c>
      <c r="N13" s="50"/>
    </row>
    <row r="14" spans="1:14" x14ac:dyDescent="0.35">
      <c r="C14" s="48" t="s">
        <v>55</v>
      </c>
      <c r="D14" s="48">
        <v>80160</v>
      </c>
      <c r="E14" s="48" t="s">
        <v>56</v>
      </c>
      <c r="F14" s="57">
        <v>190880</v>
      </c>
      <c r="G14" s="58">
        <v>4.1849999999999996</v>
      </c>
      <c r="H14" s="59" t="s">
        <v>60</v>
      </c>
      <c r="J14" s="50">
        <f>F14*G14</f>
        <v>798832.79999999993</v>
      </c>
      <c r="K14" s="60"/>
      <c r="L14" s="66">
        <f>F14*G14</f>
        <v>798832.79999999993</v>
      </c>
      <c r="N14" s="50"/>
    </row>
    <row r="15" spans="1:14" x14ac:dyDescent="0.35">
      <c r="C15" s="48" t="s">
        <v>55</v>
      </c>
      <c r="D15" s="48">
        <v>81540</v>
      </c>
      <c r="E15" s="48" t="s">
        <v>56</v>
      </c>
      <c r="F15" s="57">
        <v>30000</v>
      </c>
      <c r="G15" s="58">
        <v>4.1849999999999996</v>
      </c>
      <c r="H15" s="59" t="s">
        <v>60</v>
      </c>
      <c r="J15" s="50">
        <f>F15*G15</f>
        <v>125549.99999999999</v>
      </c>
      <c r="K15" s="60"/>
      <c r="L15" s="66">
        <f>F15*G15</f>
        <v>125549.99999999999</v>
      </c>
      <c r="N15" s="50"/>
    </row>
    <row r="16" spans="1:14" x14ac:dyDescent="0.35">
      <c r="F16" s="57"/>
      <c r="G16" s="58"/>
      <c r="H16" s="59"/>
      <c r="J16" s="67"/>
      <c r="L16" s="67"/>
    </row>
    <row r="17" spans="1:16" x14ac:dyDescent="0.35">
      <c r="H17" s="59"/>
      <c r="J17" s="50">
        <f>SUM(J13:J16)</f>
        <v>997672.39999999991</v>
      </c>
      <c r="L17" s="50">
        <f>SUM(L13:L16)</f>
        <v>997672.39999999991</v>
      </c>
    </row>
    <row r="18" spans="1:16" x14ac:dyDescent="0.35">
      <c r="D18" s="48">
        <v>0</v>
      </c>
      <c r="H18" s="59"/>
      <c r="L18" s="50"/>
    </row>
    <row r="19" spans="1:16" x14ac:dyDescent="0.35">
      <c r="A19" s="72" t="s">
        <v>61</v>
      </c>
      <c r="C19" s="53" t="s">
        <v>62</v>
      </c>
      <c r="D19" s="53" t="s">
        <v>63</v>
      </c>
      <c r="F19" s="57">
        <v>2000</v>
      </c>
      <c r="G19" s="58">
        <v>1.302</v>
      </c>
      <c r="H19" s="59"/>
      <c r="J19" s="67">
        <v>2604</v>
      </c>
      <c r="L19" s="67">
        <v>2604</v>
      </c>
    </row>
    <row r="20" spans="1:16" x14ac:dyDescent="0.35">
      <c r="A20" s="72" t="s">
        <v>61</v>
      </c>
      <c r="C20" s="53" t="s">
        <v>62</v>
      </c>
      <c r="D20" s="53" t="s">
        <v>63</v>
      </c>
      <c r="F20" s="57">
        <v>18700</v>
      </c>
      <c r="G20" s="58">
        <v>1.0261</v>
      </c>
      <c r="H20" s="59"/>
      <c r="J20" s="67">
        <v>19188.07</v>
      </c>
      <c r="L20" s="67">
        <v>19188.07</v>
      </c>
    </row>
    <row r="21" spans="1:16" x14ac:dyDescent="0.35">
      <c r="A21" s="72" t="s">
        <v>61</v>
      </c>
      <c r="C21" s="53" t="s">
        <v>62</v>
      </c>
      <c r="D21" s="53" t="s">
        <v>63</v>
      </c>
      <c r="F21" s="57">
        <v>3200</v>
      </c>
      <c r="G21" s="58">
        <v>1.24</v>
      </c>
      <c r="H21" s="59"/>
      <c r="J21" s="67">
        <v>3968</v>
      </c>
      <c r="L21" s="67">
        <v>3968</v>
      </c>
    </row>
    <row r="22" spans="1:16" x14ac:dyDescent="0.35">
      <c r="A22" s="72" t="s">
        <v>61</v>
      </c>
      <c r="C22" s="53" t="s">
        <v>62</v>
      </c>
      <c r="D22" s="53" t="s">
        <v>63</v>
      </c>
      <c r="F22" s="57">
        <v>0</v>
      </c>
      <c r="G22" s="58">
        <v>0</v>
      </c>
      <c r="H22" s="59"/>
      <c r="J22" s="67">
        <v>0</v>
      </c>
      <c r="L22" s="67">
        <v>0</v>
      </c>
    </row>
    <row r="23" spans="1:16" x14ac:dyDescent="0.35">
      <c r="A23" s="72" t="s">
        <v>61</v>
      </c>
      <c r="C23" s="53" t="s">
        <v>62</v>
      </c>
      <c r="D23" s="53" t="s">
        <v>63</v>
      </c>
      <c r="F23" s="57">
        <v>0</v>
      </c>
      <c r="G23" s="58">
        <v>0</v>
      </c>
      <c r="H23" s="59"/>
      <c r="J23" s="67">
        <v>0</v>
      </c>
      <c r="L23" s="67">
        <v>0</v>
      </c>
    </row>
    <row r="24" spans="1:16" x14ac:dyDescent="0.35">
      <c r="A24" s="72" t="s">
        <v>61</v>
      </c>
      <c r="C24" s="53" t="s">
        <v>64</v>
      </c>
      <c r="D24" s="53" t="s">
        <v>65</v>
      </c>
      <c r="F24" s="57">
        <v>8000</v>
      </c>
      <c r="G24" s="58">
        <v>2.7450000000000001</v>
      </c>
      <c r="H24" s="59"/>
      <c r="J24" s="67">
        <f>F24*G24</f>
        <v>21960</v>
      </c>
      <c r="L24" s="67">
        <v>21960</v>
      </c>
    </row>
    <row r="25" spans="1:16" x14ac:dyDescent="0.35">
      <c r="H25" s="59"/>
      <c r="L25" s="50"/>
    </row>
    <row r="26" spans="1:16" x14ac:dyDescent="0.35">
      <c r="H26" s="71" t="s">
        <v>66</v>
      </c>
      <c r="J26" s="73">
        <f>J10-J17+J19+J23+J22+J21+J24+J20</f>
        <v>47720.07</v>
      </c>
      <c r="K26" s="74"/>
      <c r="L26" s="73">
        <f>L10-L17+L19+L23+L22+L21+L24+L20</f>
        <v>47720.07</v>
      </c>
      <c r="N26" s="50"/>
      <c r="O26" s="50"/>
      <c r="P26" s="50"/>
    </row>
    <row r="29" spans="1:16" x14ac:dyDescent="0.35">
      <c r="A29" s="75"/>
    </row>
    <row r="30" spans="1:16" x14ac:dyDescent="0.35">
      <c r="A30" s="76"/>
    </row>
    <row r="32" spans="1:16" x14ac:dyDescent="0.35">
      <c r="B32" s="77" t="s">
        <v>67</v>
      </c>
      <c r="C32" s="77"/>
      <c r="D32" s="77"/>
      <c r="E32" s="77"/>
      <c r="F32" s="77"/>
      <c r="G32" s="78"/>
    </row>
    <row r="33" spans="1:7" x14ac:dyDescent="0.35">
      <c r="A33" s="72" t="s">
        <v>68</v>
      </c>
      <c r="B33" s="77"/>
      <c r="C33" s="77"/>
      <c r="D33" s="77"/>
      <c r="E33" s="77"/>
      <c r="F33" s="77"/>
      <c r="G33" s="78"/>
    </row>
    <row r="34" spans="1:7" x14ac:dyDescent="0.35">
      <c r="B34" s="77" t="s">
        <v>69</v>
      </c>
      <c r="C34" s="77"/>
      <c r="D34" s="77"/>
      <c r="E34" s="77"/>
      <c r="F34" s="77"/>
      <c r="G34" s="78"/>
    </row>
    <row r="35" spans="1:7" x14ac:dyDescent="0.35">
      <c r="A35" s="72" t="s">
        <v>70</v>
      </c>
      <c r="B35" s="77"/>
      <c r="C35" s="77"/>
      <c r="D35" s="77"/>
      <c r="E35" s="77"/>
      <c r="F35" s="77"/>
      <c r="G35" s="78"/>
    </row>
    <row r="36" spans="1:7" x14ac:dyDescent="0.35">
      <c r="A36" s="72"/>
      <c r="B36" s="77" t="s">
        <v>71</v>
      </c>
      <c r="C36" s="77"/>
      <c r="D36" s="77"/>
      <c r="E36" s="77"/>
      <c r="F36" s="77"/>
      <c r="G36" s="78"/>
    </row>
    <row r="37" spans="1:7" x14ac:dyDescent="0.35">
      <c r="A37" s="72" t="s">
        <v>72</v>
      </c>
    </row>
  </sheetData>
  <pageMargins left="0.17" right="0.17" top="0.66" bottom="0.55000000000000004" header="0.24" footer="0.33"/>
  <pageSetup scale="74" fitToHeight="0" orientation="portrait" r:id="rId1"/>
  <headerFooter>
    <oddHeader xml:space="preserve">&amp;RKY PSC CN 2020-00378  
 Staff's Data Request Set 1 No. 5 Attachment C  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2"/>
  <sheetViews>
    <sheetView view="pageLayout" zoomScaleNormal="100" workbookViewId="0">
      <selection activeCell="L2" sqref="L2"/>
    </sheetView>
  </sheetViews>
  <sheetFormatPr defaultColWidth="9.1796875" defaultRowHeight="12.5" x14ac:dyDescent="0.25"/>
  <cols>
    <col min="1" max="1" width="9.1796875" style="87" customWidth="1"/>
    <col min="2" max="2" width="10.1796875" style="81" customWidth="1"/>
    <col min="3" max="3" width="11.1796875" style="81" customWidth="1"/>
    <col min="4" max="4" width="9.26953125" style="81" customWidth="1"/>
    <col min="5" max="5" width="10.81640625" style="81" customWidth="1"/>
    <col min="6" max="6" width="13.26953125" style="81" customWidth="1"/>
    <col min="7" max="7" width="13" style="81" customWidth="1"/>
    <col min="8" max="8" width="10.1796875" style="81" customWidth="1"/>
    <col min="9" max="9" width="14.54296875" style="81" customWidth="1"/>
    <col min="10" max="13" width="10.1796875" style="81" customWidth="1"/>
    <col min="14" max="14" width="8.453125" style="81" hidden="1" customWidth="1"/>
    <col min="15" max="15" width="1.453125" style="82" customWidth="1"/>
    <col min="16" max="16" width="11" style="82" hidden="1" customWidth="1"/>
    <col min="17" max="17" width="11.453125" style="82" customWidth="1"/>
    <col min="18" max="16384" width="9.1796875" style="82"/>
  </cols>
  <sheetData>
    <row r="1" spans="1:16" ht="18" x14ac:dyDescent="0.4">
      <c r="A1" s="79" t="s">
        <v>73</v>
      </c>
      <c r="B1" s="80"/>
      <c r="C1" s="80"/>
      <c r="D1" s="80"/>
    </row>
    <row r="2" spans="1:16" ht="18" x14ac:dyDescent="0.4">
      <c r="A2" s="79"/>
      <c r="B2" s="80"/>
      <c r="C2" s="80"/>
      <c r="D2" s="80"/>
    </row>
    <row r="3" spans="1:16" ht="18" x14ac:dyDescent="0.4">
      <c r="A3" s="79" t="s">
        <v>74</v>
      </c>
      <c r="B3" s="83"/>
      <c r="C3" s="84">
        <f>'March 20 TCPS CALC'!C3</f>
        <v>43891</v>
      </c>
      <c r="E3" s="85"/>
      <c r="F3" s="85"/>
      <c r="G3" s="85"/>
      <c r="H3" s="85"/>
      <c r="I3" s="85"/>
      <c r="J3" s="85"/>
      <c r="K3" s="85"/>
      <c r="L3" s="85"/>
      <c r="M3" s="86"/>
    </row>
    <row r="5" spans="1:16" ht="13" thickBot="1" x14ac:dyDescent="0.3"/>
    <row r="6" spans="1:16" ht="13" x14ac:dyDescent="0.3">
      <c r="H6" s="206" t="s">
        <v>75</v>
      </c>
      <c r="I6" s="207"/>
      <c r="J6" s="207"/>
      <c r="K6" s="208" t="s">
        <v>76</v>
      </c>
      <c r="L6" s="209"/>
      <c r="M6" s="210"/>
      <c r="P6" s="81" t="s">
        <v>77</v>
      </c>
    </row>
    <row r="7" spans="1:16" ht="13" x14ac:dyDescent="0.3">
      <c r="A7" s="88" t="s">
        <v>78</v>
      </c>
      <c r="B7" s="211" t="s">
        <v>79</v>
      </c>
      <c r="C7" s="212"/>
      <c r="D7" s="213"/>
      <c r="E7" s="214" t="s">
        <v>80</v>
      </c>
      <c r="F7" s="215"/>
      <c r="G7" s="216"/>
      <c r="H7" s="212" t="s">
        <v>81</v>
      </c>
      <c r="I7" s="212"/>
      <c r="J7" s="212"/>
      <c r="K7" s="217" t="s">
        <v>82</v>
      </c>
      <c r="L7" s="218"/>
      <c r="M7" s="219"/>
      <c r="P7" s="81" t="s">
        <v>83</v>
      </c>
    </row>
    <row r="8" spans="1:16" ht="13" x14ac:dyDescent="0.3">
      <c r="A8" s="89" t="s">
        <v>84</v>
      </c>
      <c r="B8" s="90" t="s">
        <v>85</v>
      </c>
      <c r="C8" s="91" t="s">
        <v>86</v>
      </c>
      <c r="D8" s="92" t="s">
        <v>87</v>
      </c>
      <c r="E8" s="93" t="s">
        <v>85</v>
      </c>
      <c r="F8" s="94" t="s">
        <v>86</v>
      </c>
      <c r="G8" s="95" t="s">
        <v>87</v>
      </c>
      <c r="H8" s="91" t="s">
        <v>85</v>
      </c>
      <c r="I8" s="91" t="s">
        <v>86</v>
      </c>
      <c r="J8" s="91" t="s">
        <v>87</v>
      </c>
      <c r="K8" s="96" t="s">
        <v>85</v>
      </c>
      <c r="L8" s="97" t="s">
        <v>86</v>
      </c>
      <c r="M8" s="98" t="s">
        <v>87</v>
      </c>
      <c r="N8" s="99" t="s">
        <v>84</v>
      </c>
      <c r="P8" s="100" t="s">
        <v>88</v>
      </c>
    </row>
    <row r="9" spans="1:16" ht="13" x14ac:dyDescent="0.3">
      <c r="A9" s="101"/>
      <c r="B9" s="102"/>
      <c r="C9" s="103"/>
      <c r="D9" s="104"/>
      <c r="E9" s="105"/>
      <c r="F9" s="106"/>
      <c r="G9" s="107"/>
      <c r="H9" s="108"/>
      <c r="I9" s="108" t="s">
        <v>89</v>
      </c>
      <c r="J9" s="109"/>
      <c r="K9" s="110"/>
      <c r="L9" s="111"/>
      <c r="M9" s="112"/>
    </row>
    <row r="10" spans="1:16" ht="13" x14ac:dyDescent="0.3">
      <c r="A10" s="87">
        <f>C3</f>
        <v>43891</v>
      </c>
      <c r="B10" s="113">
        <v>1.55</v>
      </c>
      <c r="C10" s="114">
        <v>1.66</v>
      </c>
      <c r="D10" s="115">
        <v>1.75</v>
      </c>
      <c r="E10" s="116">
        <v>1.5049999999999999</v>
      </c>
      <c r="F10" s="117">
        <v>1.5649999999999999</v>
      </c>
      <c r="G10" s="118">
        <v>1.655</v>
      </c>
      <c r="H10" s="113">
        <v>1.61</v>
      </c>
      <c r="I10" s="114">
        <v>1.67</v>
      </c>
      <c r="J10" s="115">
        <v>1.75</v>
      </c>
      <c r="K10" s="119">
        <f t="shared" ref="K10:M37" si="0">AVERAGE(B10,E10,H10)</f>
        <v>1.5549999999999999</v>
      </c>
      <c r="L10" s="120">
        <f t="shared" si="0"/>
        <v>1.6316666666666666</v>
      </c>
      <c r="M10" s="121">
        <f t="shared" si="0"/>
        <v>1.7183333333333335</v>
      </c>
      <c r="N10" s="87">
        <f t="shared" ref="N10:N40" si="1">A10</f>
        <v>43891</v>
      </c>
      <c r="P10" s="122">
        <f>H10-E10</f>
        <v>0.1050000000000002</v>
      </c>
    </row>
    <row r="11" spans="1:16" x14ac:dyDescent="0.25">
      <c r="A11" s="87">
        <f>A10+1</f>
        <v>43892</v>
      </c>
      <c r="B11" s="123">
        <f t="shared" ref="B11:B40" si="2">$B$10</f>
        <v>1.55</v>
      </c>
      <c r="C11" s="124">
        <f>$C$10</f>
        <v>1.66</v>
      </c>
      <c r="D11" s="125">
        <f>$D$10</f>
        <v>1.75</v>
      </c>
      <c r="E11" s="116">
        <v>1.5049999999999999</v>
      </c>
      <c r="F11" s="117">
        <v>1.5649999999999999</v>
      </c>
      <c r="G11" s="118">
        <v>1.655</v>
      </c>
      <c r="H11" s="126">
        <f>H10</f>
        <v>1.61</v>
      </c>
      <c r="I11" s="126">
        <f>I10</f>
        <v>1.67</v>
      </c>
      <c r="J11" s="126">
        <f>J10</f>
        <v>1.75</v>
      </c>
      <c r="K11" s="119">
        <f t="shared" si="0"/>
        <v>1.5549999999999999</v>
      </c>
      <c r="L11" s="120">
        <f t="shared" si="0"/>
        <v>1.6316666666666666</v>
      </c>
      <c r="M11" s="121">
        <f t="shared" si="0"/>
        <v>1.7183333333333335</v>
      </c>
      <c r="N11" s="127">
        <f t="shared" si="1"/>
        <v>43892</v>
      </c>
      <c r="P11" s="122">
        <f t="shared" ref="P11:P40" si="3">H11-E11</f>
        <v>0.1050000000000002</v>
      </c>
    </row>
    <row r="12" spans="1:16" ht="13" x14ac:dyDescent="0.3">
      <c r="A12" s="87">
        <f t="shared" ref="A12:A40" si="4">A11+1</f>
        <v>43893</v>
      </c>
      <c r="B12" s="123">
        <f t="shared" si="2"/>
        <v>1.55</v>
      </c>
      <c r="C12" s="124">
        <f t="shared" ref="C12:C40" si="5">$C$10</f>
        <v>1.66</v>
      </c>
      <c r="D12" s="125">
        <f t="shared" ref="D12:D40" si="6">$D$10</f>
        <v>1.75</v>
      </c>
      <c r="E12" s="116">
        <v>1.5049999999999999</v>
      </c>
      <c r="F12" s="117">
        <v>1.57</v>
      </c>
      <c r="G12" s="118">
        <v>1.645</v>
      </c>
      <c r="H12" s="128">
        <v>1.55</v>
      </c>
      <c r="I12" s="128">
        <v>1.59</v>
      </c>
      <c r="J12" s="128">
        <v>1.7</v>
      </c>
      <c r="K12" s="119">
        <f t="shared" si="0"/>
        <v>1.5349999999999999</v>
      </c>
      <c r="L12" s="120">
        <f t="shared" si="0"/>
        <v>1.6066666666666667</v>
      </c>
      <c r="M12" s="121">
        <f t="shared" si="0"/>
        <v>1.6983333333333333</v>
      </c>
      <c r="N12" s="87">
        <f t="shared" si="1"/>
        <v>43893</v>
      </c>
      <c r="P12" s="122">
        <f t="shared" si="3"/>
        <v>4.5000000000000151E-2</v>
      </c>
    </row>
    <row r="13" spans="1:16" x14ac:dyDescent="0.25">
      <c r="A13" s="87">
        <f t="shared" si="4"/>
        <v>43894</v>
      </c>
      <c r="B13" s="123">
        <f t="shared" si="2"/>
        <v>1.55</v>
      </c>
      <c r="C13" s="124">
        <f t="shared" si="5"/>
        <v>1.66</v>
      </c>
      <c r="D13" s="125">
        <f t="shared" si="6"/>
        <v>1.75</v>
      </c>
      <c r="E13" s="116">
        <v>1.54</v>
      </c>
      <c r="F13" s="117">
        <v>1.63</v>
      </c>
      <c r="G13" s="118">
        <v>1.75</v>
      </c>
      <c r="H13" s="126">
        <f t="shared" ref="H13:J18" si="7">H12</f>
        <v>1.55</v>
      </c>
      <c r="I13" s="126">
        <f t="shared" si="7"/>
        <v>1.59</v>
      </c>
      <c r="J13" s="126">
        <f t="shared" si="7"/>
        <v>1.7</v>
      </c>
      <c r="K13" s="119">
        <f t="shared" si="0"/>
        <v>1.5466666666666666</v>
      </c>
      <c r="L13" s="120">
        <f t="shared" si="0"/>
        <v>1.6266666666666667</v>
      </c>
      <c r="M13" s="121">
        <f t="shared" si="0"/>
        <v>1.7333333333333334</v>
      </c>
      <c r="N13" s="87">
        <f t="shared" si="1"/>
        <v>43894</v>
      </c>
      <c r="P13" s="122">
        <f t="shared" si="3"/>
        <v>1.0000000000000009E-2</v>
      </c>
    </row>
    <row r="14" spans="1:16" s="134" customFormat="1" x14ac:dyDescent="0.25">
      <c r="A14" s="129">
        <f t="shared" si="4"/>
        <v>43895</v>
      </c>
      <c r="B14" s="123">
        <f t="shared" si="2"/>
        <v>1.55</v>
      </c>
      <c r="C14" s="124">
        <f t="shared" si="5"/>
        <v>1.66</v>
      </c>
      <c r="D14" s="125">
        <f t="shared" si="6"/>
        <v>1.75</v>
      </c>
      <c r="E14" s="116">
        <v>1.585</v>
      </c>
      <c r="F14" s="117">
        <v>1.645</v>
      </c>
      <c r="G14" s="118">
        <v>1.7749999999999999</v>
      </c>
      <c r="H14" s="126">
        <f t="shared" si="7"/>
        <v>1.55</v>
      </c>
      <c r="I14" s="126">
        <f t="shared" si="7"/>
        <v>1.59</v>
      </c>
      <c r="J14" s="126">
        <f t="shared" si="7"/>
        <v>1.7</v>
      </c>
      <c r="K14" s="130">
        <f t="shared" si="0"/>
        <v>1.5616666666666665</v>
      </c>
      <c r="L14" s="131">
        <f t="shared" si="0"/>
        <v>1.6316666666666666</v>
      </c>
      <c r="M14" s="132">
        <f t="shared" si="0"/>
        <v>1.7416666666666665</v>
      </c>
      <c r="N14" s="133">
        <f t="shared" si="1"/>
        <v>43895</v>
      </c>
      <c r="P14" s="135">
        <f t="shared" si="3"/>
        <v>-3.499999999999992E-2</v>
      </c>
    </row>
    <row r="15" spans="1:16" s="134" customFormat="1" x14ac:dyDescent="0.25">
      <c r="A15" s="129">
        <f t="shared" si="4"/>
        <v>43896</v>
      </c>
      <c r="B15" s="123">
        <f t="shared" si="2"/>
        <v>1.55</v>
      </c>
      <c r="C15" s="124">
        <f t="shared" si="5"/>
        <v>1.66</v>
      </c>
      <c r="D15" s="125">
        <f t="shared" si="6"/>
        <v>1.75</v>
      </c>
      <c r="E15" s="116">
        <v>1.595</v>
      </c>
      <c r="F15" s="117">
        <v>1.64</v>
      </c>
      <c r="G15" s="118">
        <v>1.7749999999999999</v>
      </c>
      <c r="H15" s="126">
        <f t="shared" si="7"/>
        <v>1.55</v>
      </c>
      <c r="I15" s="126">
        <f t="shared" si="7"/>
        <v>1.59</v>
      </c>
      <c r="J15" s="126">
        <f t="shared" si="7"/>
        <v>1.7</v>
      </c>
      <c r="K15" s="130">
        <f t="shared" si="0"/>
        <v>1.5650000000000002</v>
      </c>
      <c r="L15" s="131">
        <f t="shared" si="0"/>
        <v>1.63</v>
      </c>
      <c r="M15" s="132">
        <f t="shared" si="0"/>
        <v>1.7416666666666665</v>
      </c>
      <c r="N15" s="133">
        <f t="shared" si="1"/>
        <v>43896</v>
      </c>
      <c r="P15" s="122">
        <f t="shared" si="3"/>
        <v>-4.4999999999999929E-2</v>
      </c>
    </row>
    <row r="16" spans="1:16" s="134" customFormat="1" ht="13" x14ac:dyDescent="0.3">
      <c r="A16" s="129">
        <f t="shared" si="4"/>
        <v>43897</v>
      </c>
      <c r="B16" s="123">
        <f t="shared" si="2"/>
        <v>1.55</v>
      </c>
      <c r="C16" s="124">
        <f t="shared" si="5"/>
        <v>1.66</v>
      </c>
      <c r="D16" s="125">
        <f t="shared" si="6"/>
        <v>1.75</v>
      </c>
      <c r="E16" s="116">
        <v>1.5</v>
      </c>
      <c r="F16" s="117">
        <v>1.54</v>
      </c>
      <c r="G16" s="118">
        <v>1.67</v>
      </c>
      <c r="H16" s="126">
        <f t="shared" si="7"/>
        <v>1.55</v>
      </c>
      <c r="I16" s="126">
        <f t="shared" si="7"/>
        <v>1.59</v>
      </c>
      <c r="J16" s="126">
        <f t="shared" si="7"/>
        <v>1.7</v>
      </c>
      <c r="K16" s="130">
        <f t="shared" si="0"/>
        <v>1.5333333333333332</v>
      </c>
      <c r="L16" s="131">
        <f t="shared" si="0"/>
        <v>1.5966666666666667</v>
      </c>
      <c r="M16" s="132">
        <f t="shared" si="0"/>
        <v>1.7066666666666668</v>
      </c>
      <c r="N16" s="136">
        <f t="shared" si="1"/>
        <v>43897</v>
      </c>
      <c r="P16" s="122">
        <f t="shared" si="3"/>
        <v>5.0000000000000044E-2</v>
      </c>
    </row>
    <row r="17" spans="1:16" s="134" customFormat="1" x14ac:dyDescent="0.25">
      <c r="A17" s="129">
        <f t="shared" si="4"/>
        <v>43898</v>
      </c>
      <c r="B17" s="123">
        <f t="shared" si="2"/>
        <v>1.55</v>
      </c>
      <c r="C17" s="124">
        <f t="shared" si="5"/>
        <v>1.66</v>
      </c>
      <c r="D17" s="125">
        <f t="shared" si="6"/>
        <v>1.75</v>
      </c>
      <c r="E17" s="116">
        <v>1.5</v>
      </c>
      <c r="F17" s="117">
        <v>1.54</v>
      </c>
      <c r="G17" s="118">
        <v>1.67</v>
      </c>
      <c r="H17" s="126">
        <f t="shared" si="7"/>
        <v>1.55</v>
      </c>
      <c r="I17" s="126">
        <f t="shared" si="7"/>
        <v>1.59</v>
      </c>
      <c r="J17" s="126">
        <f t="shared" si="7"/>
        <v>1.7</v>
      </c>
      <c r="K17" s="130">
        <f t="shared" si="0"/>
        <v>1.5333333333333332</v>
      </c>
      <c r="L17" s="131">
        <f t="shared" si="0"/>
        <v>1.5966666666666667</v>
      </c>
      <c r="M17" s="132">
        <f t="shared" si="0"/>
        <v>1.7066666666666668</v>
      </c>
      <c r="N17" s="133">
        <f t="shared" si="1"/>
        <v>43898</v>
      </c>
      <c r="P17" s="122">
        <f t="shared" si="3"/>
        <v>5.0000000000000044E-2</v>
      </c>
    </row>
    <row r="18" spans="1:16" s="134" customFormat="1" x14ac:dyDescent="0.25">
      <c r="A18" s="129">
        <f t="shared" si="4"/>
        <v>43899</v>
      </c>
      <c r="B18" s="123">
        <f t="shared" si="2"/>
        <v>1.55</v>
      </c>
      <c r="C18" s="124">
        <f t="shared" si="5"/>
        <v>1.66</v>
      </c>
      <c r="D18" s="125">
        <f t="shared" si="6"/>
        <v>1.75</v>
      </c>
      <c r="E18" s="116">
        <v>1.5</v>
      </c>
      <c r="F18" s="117">
        <v>1.54</v>
      </c>
      <c r="G18" s="118">
        <v>1.67</v>
      </c>
      <c r="H18" s="126">
        <f t="shared" si="7"/>
        <v>1.55</v>
      </c>
      <c r="I18" s="126">
        <f t="shared" si="7"/>
        <v>1.59</v>
      </c>
      <c r="J18" s="126">
        <f t="shared" si="7"/>
        <v>1.7</v>
      </c>
      <c r="K18" s="130">
        <f t="shared" si="0"/>
        <v>1.5333333333333332</v>
      </c>
      <c r="L18" s="131">
        <f t="shared" si="0"/>
        <v>1.5966666666666667</v>
      </c>
      <c r="M18" s="132">
        <f t="shared" si="0"/>
        <v>1.7066666666666668</v>
      </c>
      <c r="N18" s="133">
        <f t="shared" si="1"/>
        <v>43899</v>
      </c>
      <c r="P18" s="122">
        <f t="shared" si="3"/>
        <v>5.0000000000000044E-2</v>
      </c>
    </row>
    <row r="19" spans="1:16" s="134" customFormat="1" ht="12" customHeight="1" x14ac:dyDescent="0.3">
      <c r="A19" s="129">
        <f t="shared" si="4"/>
        <v>43900</v>
      </c>
      <c r="B19" s="123">
        <f t="shared" si="2"/>
        <v>1.55</v>
      </c>
      <c r="C19" s="124">
        <f t="shared" si="5"/>
        <v>1.66</v>
      </c>
      <c r="D19" s="125">
        <f t="shared" si="6"/>
        <v>1.75</v>
      </c>
      <c r="E19" s="116">
        <v>1.47</v>
      </c>
      <c r="F19" s="117">
        <v>1.5049999999999999</v>
      </c>
      <c r="G19" s="118">
        <v>1.635</v>
      </c>
      <c r="H19" s="128">
        <v>1.55</v>
      </c>
      <c r="I19" s="128">
        <v>1.79</v>
      </c>
      <c r="J19" s="128">
        <v>1.8</v>
      </c>
      <c r="K19" s="130">
        <f t="shared" si="0"/>
        <v>1.5233333333333334</v>
      </c>
      <c r="L19" s="131">
        <f t="shared" si="0"/>
        <v>1.6516666666666666</v>
      </c>
      <c r="M19" s="132">
        <f t="shared" si="0"/>
        <v>1.7283333333333333</v>
      </c>
      <c r="N19" s="133">
        <f t="shared" si="1"/>
        <v>43900</v>
      </c>
      <c r="P19" s="122">
        <f t="shared" si="3"/>
        <v>8.0000000000000071E-2</v>
      </c>
    </row>
    <row r="20" spans="1:16" s="134" customFormat="1" x14ac:dyDescent="0.25">
      <c r="A20" s="129">
        <f t="shared" si="4"/>
        <v>43901</v>
      </c>
      <c r="B20" s="123">
        <f t="shared" si="2"/>
        <v>1.55</v>
      </c>
      <c r="C20" s="124">
        <f t="shared" si="5"/>
        <v>1.66</v>
      </c>
      <c r="D20" s="125">
        <f t="shared" si="6"/>
        <v>1.75</v>
      </c>
      <c r="E20" s="116">
        <v>1.5549999999999999</v>
      </c>
      <c r="F20" s="117">
        <v>1.625</v>
      </c>
      <c r="G20" s="118">
        <v>1.7749999999999999</v>
      </c>
      <c r="H20" s="126">
        <f t="shared" ref="H20:J25" si="8">H19</f>
        <v>1.55</v>
      </c>
      <c r="I20" s="126">
        <f t="shared" si="8"/>
        <v>1.79</v>
      </c>
      <c r="J20" s="126">
        <f t="shared" si="8"/>
        <v>1.8</v>
      </c>
      <c r="K20" s="130">
        <f t="shared" si="0"/>
        <v>1.5516666666666667</v>
      </c>
      <c r="L20" s="131">
        <f t="shared" si="0"/>
        <v>1.6916666666666667</v>
      </c>
      <c r="M20" s="132">
        <f t="shared" si="0"/>
        <v>1.7750000000000001</v>
      </c>
      <c r="N20" s="133">
        <f t="shared" si="1"/>
        <v>43901</v>
      </c>
      <c r="P20" s="135">
        <f>H20-E20</f>
        <v>-4.9999999999998934E-3</v>
      </c>
    </row>
    <row r="21" spans="1:16" s="134" customFormat="1" x14ac:dyDescent="0.25">
      <c r="A21" s="129">
        <f t="shared" si="4"/>
        <v>43902</v>
      </c>
      <c r="B21" s="123">
        <f t="shared" si="2"/>
        <v>1.55</v>
      </c>
      <c r="C21" s="124">
        <f t="shared" si="5"/>
        <v>1.66</v>
      </c>
      <c r="D21" s="125">
        <f t="shared" si="6"/>
        <v>1.75</v>
      </c>
      <c r="E21" s="116">
        <v>1.58</v>
      </c>
      <c r="F21" s="117">
        <v>1.67</v>
      </c>
      <c r="G21" s="118">
        <v>1.88</v>
      </c>
      <c r="H21" s="126">
        <f t="shared" si="8"/>
        <v>1.55</v>
      </c>
      <c r="I21" s="126">
        <f t="shared" si="8"/>
        <v>1.79</v>
      </c>
      <c r="J21" s="126">
        <f t="shared" si="8"/>
        <v>1.8</v>
      </c>
      <c r="K21" s="130">
        <f t="shared" si="0"/>
        <v>1.5599999999999998</v>
      </c>
      <c r="L21" s="131">
        <f t="shared" si="0"/>
        <v>1.7066666666666668</v>
      </c>
      <c r="M21" s="132">
        <f t="shared" si="0"/>
        <v>1.8099999999999998</v>
      </c>
      <c r="N21" s="133">
        <f t="shared" si="1"/>
        <v>43902</v>
      </c>
      <c r="P21" s="135">
        <f t="shared" si="3"/>
        <v>-3.0000000000000027E-2</v>
      </c>
    </row>
    <row r="22" spans="1:16" s="134" customFormat="1" x14ac:dyDescent="0.25">
      <c r="A22" s="129">
        <f t="shared" si="4"/>
        <v>43903</v>
      </c>
      <c r="B22" s="123">
        <f t="shared" si="2"/>
        <v>1.55</v>
      </c>
      <c r="C22" s="124">
        <f t="shared" si="5"/>
        <v>1.66</v>
      </c>
      <c r="D22" s="125">
        <f t="shared" si="6"/>
        <v>1.75</v>
      </c>
      <c r="E22" s="116">
        <v>1.4950000000000001</v>
      </c>
      <c r="F22" s="117">
        <v>1.5649999999999999</v>
      </c>
      <c r="G22" s="118">
        <v>1.7450000000000001</v>
      </c>
      <c r="H22" s="126">
        <f t="shared" si="8"/>
        <v>1.55</v>
      </c>
      <c r="I22" s="126">
        <f t="shared" si="8"/>
        <v>1.79</v>
      </c>
      <c r="J22" s="126">
        <f t="shared" si="8"/>
        <v>1.8</v>
      </c>
      <c r="K22" s="130">
        <f t="shared" si="0"/>
        <v>1.5316666666666665</v>
      </c>
      <c r="L22" s="131">
        <f t="shared" si="0"/>
        <v>1.6716666666666666</v>
      </c>
      <c r="M22" s="132">
        <f t="shared" si="0"/>
        <v>1.7649999999999999</v>
      </c>
      <c r="N22" s="133">
        <f t="shared" si="1"/>
        <v>43903</v>
      </c>
      <c r="P22" s="122">
        <f t="shared" si="3"/>
        <v>5.4999999999999938E-2</v>
      </c>
    </row>
    <row r="23" spans="1:16" s="134" customFormat="1" ht="13" x14ac:dyDescent="0.3">
      <c r="A23" s="129">
        <f t="shared" si="4"/>
        <v>43904</v>
      </c>
      <c r="B23" s="123">
        <f t="shared" si="2"/>
        <v>1.55</v>
      </c>
      <c r="C23" s="124">
        <f t="shared" si="5"/>
        <v>1.66</v>
      </c>
      <c r="D23" s="125">
        <f t="shared" si="6"/>
        <v>1.75</v>
      </c>
      <c r="E23" s="116">
        <v>1.64</v>
      </c>
      <c r="F23" s="117">
        <v>1.67</v>
      </c>
      <c r="G23" s="118">
        <v>1.855</v>
      </c>
      <c r="H23" s="126">
        <f t="shared" si="8"/>
        <v>1.55</v>
      </c>
      <c r="I23" s="126">
        <f t="shared" si="8"/>
        <v>1.79</v>
      </c>
      <c r="J23" s="126">
        <f t="shared" si="8"/>
        <v>1.8</v>
      </c>
      <c r="K23" s="130">
        <f t="shared" si="0"/>
        <v>1.58</v>
      </c>
      <c r="L23" s="131">
        <f t="shared" si="0"/>
        <v>1.7066666666666668</v>
      </c>
      <c r="M23" s="132">
        <f t="shared" si="0"/>
        <v>1.8016666666666667</v>
      </c>
      <c r="N23" s="136">
        <f t="shared" si="1"/>
        <v>43904</v>
      </c>
      <c r="P23" s="122">
        <f t="shared" si="3"/>
        <v>-8.9999999999999858E-2</v>
      </c>
    </row>
    <row r="24" spans="1:16" s="134" customFormat="1" x14ac:dyDescent="0.25">
      <c r="A24" s="129">
        <f t="shared" si="4"/>
        <v>43905</v>
      </c>
      <c r="B24" s="123">
        <f t="shared" si="2"/>
        <v>1.55</v>
      </c>
      <c r="C24" s="124">
        <f t="shared" si="5"/>
        <v>1.66</v>
      </c>
      <c r="D24" s="125">
        <f t="shared" si="6"/>
        <v>1.75</v>
      </c>
      <c r="E24" s="116">
        <v>1.64</v>
      </c>
      <c r="F24" s="117">
        <v>1.67</v>
      </c>
      <c r="G24" s="118">
        <v>1.855</v>
      </c>
      <c r="H24" s="126">
        <f t="shared" si="8"/>
        <v>1.55</v>
      </c>
      <c r="I24" s="126">
        <f t="shared" si="8"/>
        <v>1.79</v>
      </c>
      <c r="J24" s="126">
        <f t="shared" si="8"/>
        <v>1.8</v>
      </c>
      <c r="K24" s="130">
        <f>AVERAGE(B24,E24,H24)</f>
        <v>1.58</v>
      </c>
      <c r="L24" s="131">
        <f t="shared" si="0"/>
        <v>1.7066666666666668</v>
      </c>
      <c r="M24" s="132">
        <f t="shared" si="0"/>
        <v>1.8016666666666667</v>
      </c>
      <c r="N24" s="133">
        <f t="shared" si="1"/>
        <v>43905</v>
      </c>
      <c r="P24" s="122">
        <f t="shared" si="3"/>
        <v>-8.9999999999999858E-2</v>
      </c>
    </row>
    <row r="25" spans="1:16" s="134" customFormat="1" x14ac:dyDescent="0.25">
      <c r="A25" s="129">
        <f t="shared" si="4"/>
        <v>43906</v>
      </c>
      <c r="B25" s="123">
        <f t="shared" si="2"/>
        <v>1.55</v>
      </c>
      <c r="C25" s="124">
        <f t="shared" si="5"/>
        <v>1.66</v>
      </c>
      <c r="D25" s="125">
        <f t="shared" si="6"/>
        <v>1.75</v>
      </c>
      <c r="E25" s="116">
        <v>1.64</v>
      </c>
      <c r="F25" s="117">
        <v>1.67</v>
      </c>
      <c r="G25" s="118">
        <v>1.855</v>
      </c>
      <c r="H25" s="126">
        <f t="shared" si="8"/>
        <v>1.55</v>
      </c>
      <c r="I25" s="126">
        <f t="shared" si="8"/>
        <v>1.79</v>
      </c>
      <c r="J25" s="126">
        <f t="shared" si="8"/>
        <v>1.8</v>
      </c>
      <c r="K25" s="130">
        <f t="shared" si="0"/>
        <v>1.58</v>
      </c>
      <c r="L25" s="131">
        <f t="shared" si="0"/>
        <v>1.7066666666666668</v>
      </c>
      <c r="M25" s="132">
        <f t="shared" si="0"/>
        <v>1.8016666666666667</v>
      </c>
      <c r="N25" s="133">
        <f t="shared" si="1"/>
        <v>43906</v>
      </c>
      <c r="P25" s="135">
        <f t="shared" si="3"/>
        <v>-8.9999999999999858E-2</v>
      </c>
    </row>
    <row r="26" spans="1:16" s="134" customFormat="1" ht="13" x14ac:dyDescent="0.3">
      <c r="A26" s="129">
        <f t="shared" si="4"/>
        <v>43907</v>
      </c>
      <c r="B26" s="123">
        <f t="shared" si="2"/>
        <v>1.55</v>
      </c>
      <c r="C26" s="124">
        <f t="shared" si="5"/>
        <v>1.66</v>
      </c>
      <c r="D26" s="125">
        <f t="shared" si="6"/>
        <v>1.75</v>
      </c>
      <c r="E26" s="116">
        <v>1.5049999999999999</v>
      </c>
      <c r="F26" s="117">
        <v>1.58</v>
      </c>
      <c r="G26" s="118">
        <v>1.76</v>
      </c>
      <c r="H26" s="128">
        <v>1.44</v>
      </c>
      <c r="I26" s="128">
        <v>1.48</v>
      </c>
      <c r="J26" s="128">
        <v>1.6</v>
      </c>
      <c r="K26" s="130">
        <f t="shared" si="0"/>
        <v>1.4983333333333331</v>
      </c>
      <c r="L26" s="131">
        <f t="shared" si="0"/>
        <v>1.5733333333333335</v>
      </c>
      <c r="M26" s="132">
        <f t="shared" si="0"/>
        <v>1.7033333333333331</v>
      </c>
      <c r="N26" s="133">
        <f t="shared" si="1"/>
        <v>43907</v>
      </c>
      <c r="P26" s="122">
        <f t="shared" si="3"/>
        <v>-6.4999999999999947E-2</v>
      </c>
    </row>
    <row r="27" spans="1:16" s="134" customFormat="1" x14ac:dyDescent="0.25">
      <c r="A27" s="129">
        <f t="shared" si="4"/>
        <v>43908</v>
      </c>
      <c r="B27" s="123">
        <f t="shared" si="2"/>
        <v>1.55</v>
      </c>
      <c r="C27" s="124">
        <f t="shared" si="5"/>
        <v>1.66</v>
      </c>
      <c r="D27" s="125">
        <f t="shared" si="6"/>
        <v>1.75</v>
      </c>
      <c r="E27" s="116">
        <v>1.5149999999999999</v>
      </c>
      <c r="F27" s="117">
        <v>1.57</v>
      </c>
      <c r="G27" s="118">
        <v>1.73</v>
      </c>
      <c r="H27" s="126">
        <f t="shared" ref="H27:J32" si="9">H26</f>
        <v>1.44</v>
      </c>
      <c r="I27" s="126">
        <f t="shared" si="9"/>
        <v>1.48</v>
      </c>
      <c r="J27" s="126">
        <f t="shared" si="9"/>
        <v>1.6</v>
      </c>
      <c r="K27" s="130">
        <f t="shared" si="0"/>
        <v>1.5016666666666667</v>
      </c>
      <c r="L27" s="131">
        <f t="shared" si="0"/>
        <v>1.57</v>
      </c>
      <c r="M27" s="132">
        <f t="shared" si="0"/>
        <v>1.6933333333333334</v>
      </c>
      <c r="N27" s="133">
        <f t="shared" si="1"/>
        <v>43908</v>
      </c>
      <c r="P27" s="135">
        <f t="shared" si="3"/>
        <v>-7.4999999999999956E-2</v>
      </c>
    </row>
    <row r="28" spans="1:16" s="134" customFormat="1" x14ac:dyDescent="0.25">
      <c r="A28" s="129">
        <f t="shared" si="4"/>
        <v>43909</v>
      </c>
      <c r="B28" s="123">
        <f t="shared" si="2"/>
        <v>1.55</v>
      </c>
      <c r="C28" s="124">
        <f t="shared" si="5"/>
        <v>1.66</v>
      </c>
      <c r="D28" s="125">
        <f t="shared" si="6"/>
        <v>1.75</v>
      </c>
      <c r="E28" s="116">
        <v>1.37</v>
      </c>
      <c r="F28" s="117">
        <v>1.42</v>
      </c>
      <c r="G28" s="118">
        <v>1.595</v>
      </c>
      <c r="H28" s="126">
        <f t="shared" si="9"/>
        <v>1.44</v>
      </c>
      <c r="I28" s="126">
        <f t="shared" si="9"/>
        <v>1.48</v>
      </c>
      <c r="J28" s="126">
        <f t="shared" si="9"/>
        <v>1.6</v>
      </c>
      <c r="K28" s="130">
        <f t="shared" si="0"/>
        <v>1.4533333333333331</v>
      </c>
      <c r="L28" s="131">
        <f t="shared" si="0"/>
        <v>1.5200000000000002</v>
      </c>
      <c r="M28" s="132">
        <f t="shared" si="0"/>
        <v>1.6483333333333334</v>
      </c>
      <c r="N28" s="133">
        <f t="shared" si="1"/>
        <v>43909</v>
      </c>
      <c r="P28" s="135">
        <f t="shared" si="3"/>
        <v>6.999999999999984E-2</v>
      </c>
    </row>
    <row r="29" spans="1:16" s="134" customFormat="1" x14ac:dyDescent="0.25">
      <c r="A29" s="129">
        <f t="shared" si="4"/>
        <v>43910</v>
      </c>
      <c r="B29" s="123">
        <f t="shared" si="2"/>
        <v>1.55</v>
      </c>
      <c r="C29" s="124">
        <f t="shared" si="5"/>
        <v>1.66</v>
      </c>
      <c r="D29" s="125">
        <f t="shared" si="6"/>
        <v>1.75</v>
      </c>
      <c r="E29" s="116">
        <v>1.325</v>
      </c>
      <c r="F29" s="117">
        <v>1.41</v>
      </c>
      <c r="G29" s="118">
        <v>1.59</v>
      </c>
      <c r="H29" s="126">
        <f t="shared" si="9"/>
        <v>1.44</v>
      </c>
      <c r="I29" s="126">
        <f t="shared" si="9"/>
        <v>1.48</v>
      </c>
      <c r="J29" s="126">
        <f t="shared" si="9"/>
        <v>1.6</v>
      </c>
      <c r="K29" s="130">
        <f t="shared" si="0"/>
        <v>1.4383333333333332</v>
      </c>
      <c r="L29" s="131">
        <f t="shared" si="0"/>
        <v>1.5166666666666666</v>
      </c>
      <c r="M29" s="132">
        <f t="shared" si="0"/>
        <v>1.6466666666666665</v>
      </c>
      <c r="N29" s="133">
        <f t="shared" si="1"/>
        <v>43910</v>
      </c>
      <c r="P29" s="122">
        <f t="shared" si="3"/>
        <v>0.11499999999999999</v>
      </c>
    </row>
    <row r="30" spans="1:16" s="134" customFormat="1" ht="13" x14ac:dyDescent="0.3">
      <c r="A30" s="129">
        <f t="shared" si="4"/>
        <v>43911</v>
      </c>
      <c r="B30" s="123">
        <f t="shared" si="2"/>
        <v>1.55</v>
      </c>
      <c r="C30" s="124">
        <f t="shared" si="5"/>
        <v>1.66</v>
      </c>
      <c r="D30" s="125">
        <f t="shared" si="6"/>
        <v>1.75</v>
      </c>
      <c r="E30" s="116">
        <v>1.42</v>
      </c>
      <c r="F30" s="117">
        <v>1.4850000000000001</v>
      </c>
      <c r="G30" s="118">
        <v>1.575</v>
      </c>
      <c r="H30" s="126">
        <f t="shared" si="9"/>
        <v>1.44</v>
      </c>
      <c r="I30" s="126">
        <f t="shared" si="9"/>
        <v>1.48</v>
      </c>
      <c r="J30" s="126">
        <f t="shared" si="9"/>
        <v>1.6</v>
      </c>
      <c r="K30" s="130">
        <f t="shared" si="0"/>
        <v>1.47</v>
      </c>
      <c r="L30" s="131">
        <f t="shared" si="0"/>
        <v>1.5416666666666667</v>
      </c>
      <c r="M30" s="132">
        <f t="shared" si="0"/>
        <v>1.6416666666666668</v>
      </c>
      <c r="N30" s="136">
        <f t="shared" si="1"/>
        <v>43911</v>
      </c>
      <c r="P30" s="122">
        <f t="shared" si="3"/>
        <v>2.0000000000000018E-2</v>
      </c>
    </row>
    <row r="31" spans="1:16" s="134" customFormat="1" x14ac:dyDescent="0.25">
      <c r="A31" s="129">
        <f t="shared" si="4"/>
        <v>43912</v>
      </c>
      <c r="B31" s="123">
        <f t="shared" si="2"/>
        <v>1.55</v>
      </c>
      <c r="C31" s="124">
        <f t="shared" si="5"/>
        <v>1.66</v>
      </c>
      <c r="D31" s="125">
        <f t="shared" si="6"/>
        <v>1.75</v>
      </c>
      <c r="E31" s="116">
        <v>1.42</v>
      </c>
      <c r="F31" s="117">
        <v>1.4850000000000001</v>
      </c>
      <c r="G31" s="118">
        <v>1.575</v>
      </c>
      <c r="H31" s="126">
        <f t="shared" si="9"/>
        <v>1.44</v>
      </c>
      <c r="I31" s="126">
        <f t="shared" si="9"/>
        <v>1.48</v>
      </c>
      <c r="J31" s="126">
        <f t="shared" si="9"/>
        <v>1.6</v>
      </c>
      <c r="K31" s="130">
        <f t="shared" si="0"/>
        <v>1.47</v>
      </c>
      <c r="L31" s="131">
        <f t="shared" si="0"/>
        <v>1.5416666666666667</v>
      </c>
      <c r="M31" s="132">
        <f t="shared" si="0"/>
        <v>1.6416666666666668</v>
      </c>
      <c r="N31" s="133">
        <f t="shared" si="1"/>
        <v>43912</v>
      </c>
      <c r="P31" s="122">
        <f t="shared" si="3"/>
        <v>2.0000000000000018E-2</v>
      </c>
    </row>
    <row r="32" spans="1:16" s="134" customFormat="1" x14ac:dyDescent="0.25">
      <c r="A32" s="129">
        <f t="shared" si="4"/>
        <v>43913</v>
      </c>
      <c r="B32" s="123">
        <f t="shared" si="2"/>
        <v>1.55</v>
      </c>
      <c r="C32" s="124">
        <f t="shared" si="5"/>
        <v>1.66</v>
      </c>
      <c r="D32" s="125">
        <f t="shared" si="6"/>
        <v>1.75</v>
      </c>
      <c r="E32" s="116">
        <v>1.42</v>
      </c>
      <c r="F32" s="117">
        <v>1.4850000000000001</v>
      </c>
      <c r="G32" s="118">
        <v>1.575</v>
      </c>
      <c r="H32" s="126">
        <f t="shared" si="9"/>
        <v>1.44</v>
      </c>
      <c r="I32" s="126">
        <f t="shared" si="9"/>
        <v>1.48</v>
      </c>
      <c r="J32" s="126">
        <f t="shared" si="9"/>
        <v>1.6</v>
      </c>
      <c r="K32" s="130">
        <f t="shared" si="0"/>
        <v>1.47</v>
      </c>
      <c r="L32" s="131">
        <f t="shared" si="0"/>
        <v>1.5416666666666667</v>
      </c>
      <c r="M32" s="132">
        <f t="shared" si="0"/>
        <v>1.6416666666666668</v>
      </c>
      <c r="N32" s="133">
        <f t="shared" si="1"/>
        <v>43913</v>
      </c>
      <c r="P32" s="122">
        <f t="shared" si="3"/>
        <v>2.0000000000000018E-2</v>
      </c>
    </row>
    <row r="33" spans="1:16" s="134" customFormat="1" ht="13" x14ac:dyDescent="0.3">
      <c r="A33" s="129">
        <f t="shared" si="4"/>
        <v>43914</v>
      </c>
      <c r="B33" s="123">
        <f t="shared" si="2"/>
        <v>1.55</v>
      </c>
      <c r="C33" s="124">
        <f t="shared" si="5"/>
        <v>1.66</v>
      </c>
      <c r="D33" s="125">
        <f t="shared" si="6"/>
        <v>1.75</v>
      </c>
      <c r="E33" s="116">
        <v>1.41</v>
      </c>
      <c r="F33" s="117">
        <v>1.4550000000000001</v>
      </c>
      <c r="G33" s="118">
        <v>1.5549999999999999</v>
      </c>
      <c r="H33" s="128">
        <v>1.38</v>
      </c>
      <c r="I33" s="128">
        <v>1.37</v>
      </c>
      <c r="J33" s="128">
        <v>1.56</v>
      </c>
      <c r="K33" s="130">
        <f t="shared" si="0"/>
        <v>1.4466666666666665</v>
      </c>
      <c r="L33" s="131">
        <f t="shared" si="0"/>
        <v>1.4950000000000001</v>
      </c>
      <c r="M33" s="132">
        <f t="shared" si="0"/>
        <v>1.6216666666666668</v>
      </c>
      <c r="N33" s="133">
        <f t="shared" si="1"/>
        <v>43914</v>
      </c>
      <c r="P33" s="122">
        <f t="shared" si="3"/>
        <v>-3.0000000000000027E-2</v>
      </c>
    </row>
    <row r="34" spans="1:16" s="134" customFormat="1" x14ac:dyDescent="0.25">
      <c r="A34" s="129">
        <f t="shared" si="4"/>
        <v>43915</v>
      </c>
      <c r="B34" s="123">
        <f t="shared" si="2"/>
        <v>1.55</v>
      </c>
      <c r="C34" s="124">
        <f t="shared" si="5"/>
        <v>1.66</v>
      </c>
      <c r="D34" s="125">
        <f t="shared" si="6"/>
        <v>1.75</v>
      </c>
      <c r="E34" s="116">
        <v>1.44</v>
      </c>
      <c r="F34" s="117">
        <v>1.5049999999999999</v>
      </c>
      <c r="G34" s="118">
        <v>1.625</v>
      </c>
      <c r="H34" s="126">
        <f t="shared" ref="H34:J39" si="10">H33</f>
        <v>1.38</v>
      </c>
      <c r="I34" s="126">
        <f t="shared" si="10"/>
        <v>1.37</v>
      </c>
      <c r="J34" s="126">
        <f t="shared" si="10"/>
        <v>1.56</v>
      </c>
      <c r="K34" s="130">
        <f t="shared" si="0"/>
        <v>1.4566666666666668</v>
      </c>
      <c r="L34" s="131">
        <f t="shared" si="0"/>
        <v>1.5116666666666667</v>
      </c>
      <c r="M34" s="132">
        <f t="shared" si="0"/>
        <v>1.6450000000000002</v>
      </c>
      <c r="N34" s="133">
        <f t="shared" si="1"/>
        <v>43915</v>
      </c>
      <c r="P34" s="135">
        <f t="shared" si="3"/>
        <v>-6.0000000000000053E-2</v>
      </c>
    </row>
    <row r="35" spans="1:16" s="134" customFormat="1" x14ac:dyDescent="0.25">
      <c r="A35" s="129">
        <f t="shared" si="4"/>
        <v>43916</v>
      </c>
      <c r="B35" s="123">
        <f t="shared" si="2"/>
        <v>1.55</v>
      </c>
      <c r="C35" s="124">
        <f t="shared" si="5"/>
        <v>1.66</v>
      </c>
      <c r="D35" s="125">
        <f t="shared" si="6"/>
        <v>1.75</v>
      </c>
      <c r="E35" s="116">
        <v>1.43</v>
      </c>
      <c r="F35" s="117">
        <v>1.4950000000000001</v>
      </c>
      <c r="G35" s="118">
        <v>1.62</v>
      </c>
      <c r="H35" s="126">
        <f t="shared" si="10"/>
        <v>1.38</v>
      </c>
      <c r="I35" s="126">
        <f t="shared" si="10"/>
        <v>1.37</v>
      </c>
      <c r="J35" s="126">
        <f t="shared" si="10"/>
        <v>1.56</v>
      </c>
      <c r="K35" s="130">
        <f t="shared" si="0"/>
        <v>1.4533333333333331</v>
      </c>
      <c r="L35" s="131">
        <f t="shared" si="0"/>
        <v>1.5083333333333335</v>
      </c>
      <c r="M35" s="132">
        <f t="shared" si="0"/>
        <v>1.6433333333333333</v>
      </c>
      <c r="N35" s="133">
        <f t="shared" si="1"/>
        <v>43916</v>
      </c>
      <c r="P35" s="135">
        <f t="shared" si="3"/>
        <v>-5.0000000000000044E-2</v>
      </c>
    </row>
    <row r="36" spans="1:16" x14ac:dyDescent="0.25">
      <c r="A36" s="87">
        <f t="shared" si="4"/>
        <v>43917</v>
      </c>
      <c r="B36" s="123">
        <f t="shared" si="2"/>
        <v>1.55</v>
      </c>
      <c r="C36" s="124">
        <f t="shared" si="5"/>
        <v>1.66</v>
      </c>
      <c r="D36" s="125">
        <f t="shared" si="6"/>
        <v>1.75</v>
      </c>
      <c r="E36" s="116">
        <v>1.36</v>
      </c>
      <c r="F36" s="117">
        <v>1.42</v>
      </c>
      <c r="G36" s="118">
        <v>1.59</v>
      </c>
      <c r="H36" s="126">
        <f t="shared" si="10"/>
        <v>1.38</v>
      </c>
      <c r="I36" s="126">
        <f t="shared" si="10"/>
        <v>1.37</v>
      </c>
      <c r="J36" s="126">
        <f t="shared" si="10"/>
        <v>1.56</v>
      </c>
      <c r="K36" s="130">
        <f t="shared" si="0"/>
        <v>1.43</v>
      </c>
      <c r="L36" s="120">
        <f t="shared" si="0"/>
        <v>1.4833333333333334</v>
      </c>
      <c r="M36" s="121">
        <f t="shared" si="0"/>
        <v>1.6333333333333335</v>
      </c>
      <c r="N36" s="133">
        <f t="shared" si="1"/>
        <v>43917</v>
      </c>
      <c r="P36" s="122">
        <f>H36-E36</f>
        <v>1.9999999999999796E-2</v>
      </c>
    </row>
    <row r="37" spans="1:16" ht="13" x14ac:dyDescent="0.3">
      <c r="A37" s="87">
        <f t="shared" si="4"/>
        <v>43918</v>
      </c>
      <c r="B37" s="123">
        <f t="shared" si="2"/>
        <v>1.55</v>
      </c>
      <c r="C37" s="124">
        <f t="shared" si="5"/>
        <v>1.66</v>
      </c>
      <c r="D37" s="125">
        <f t="shared" si="6"/>
        <v>1.75</v>
      </c>
      <c r="E37" s="116">
        <v>1.2949999999999999</v>
      </c>
      <c r="F37" s="117">
        <v>1.345</v>
      </c>
      <c r="G37" s="118">
        <v>1.5449999999999999</v>
      </c>
      <c r="H37" s="126">
        <f t="shared" si="10"/>
        <v>1.38</v>
      </c>
      <c r="I37" s="126">
        <f t="shared" si="10"/>
        <v>1.37</v>
      </c>
      <c r="J37" s="126">
        <f t="shared" si="10"/>
        <v>1.56</v>
      </c>
      <c r="K37" s="130">
        <f t="shared" si="0"/>
        <v>1.4083333333333332</v>
      </c>
      <c r="L37" s="120">
        <f t="shared" si="0"/>
        <v>1.4583333333333333</v>
      </c>
      <c r="M37" s="121">
        <f t="shared" si="0"/>
        <v>1.6183333333333334</v>
      </c>
      <c r="N37" s="136">
        <f t="shared" si="1"/>
        <v>43918</v>
      </c>
      <c r="P37" s="122">
        <f t="shared" si="3"/>
        <v>8.4999999999999964E-2</v>
      </c>
    </row>
    <row r="38" spans="1:16" s="134" customFormat="1" x14ac:dyDescent="0.25">
      <c r="A38" s="129">
        <f t="shared" si="4"/>
        <v>43919</v>
      </c>
      <c r="B38" s="123">
        <f t="shared" si="2"/>
        <v>1.55</v>
      </c>
      <c r="C38" s="124">
        <f t="shared" si="5"/>
        <v>1.66</v>
      </c>
      <c r="D38" s="125">
        <f t="shared" si="6"/>
        <v>1.75</v>
      </c>
      <c r="E38" s="116">
        <v>1.2949999999999999</v>
      </c>
      <c r="F38" s="117">
        <v>1.345</v>
      </c>
      <c r="G38" s="118">
        <v>1.5449999999999999</v>
      </c>
      <c r="H38" s="126">
        <f t="shared" si="10"/>
        <v>1.38</v>
      </c>
      <c r="I38" s="126">
        <f t="shared" si="10"/>
        <v>1.37</v>
      </c>
      <c r="J38" s="126">
        <f t="shared" si="10"/>
        <v>1.56</v>
      </c>
      <c r="K38" s="130">
        <f t="shared" ref="K38:M40" si="11">AVERAGE(B38,E38,H38)</f>
        <v>1.4083333333333332</v>
      </c>
      <c r="L38" s="131">
        <f t="shared" si="11"/>
        <v>1.4583333333333333</v>
      </c>
      <c r="M38" s="132">
        <f t="shared" si="11"/>
        <v>1.6183333333333334</v>
      </c>
      <c r="N38" s="133">
        <f t="shared" si="1"/>
        <v>43919</v>
      </c>
      <c r="P38" s="135">
        <f t="shared" si="3"/>
        <v>8.4999999999999964E-2</v>
      </c>
    </row>
    <row r="39" spans="1:16" ht="13" x14ac:dyDescent="0.3">
      <c r="A39" s="87">
        <f t="shared" si="4"/>
        <v>43920</v>
      </c>
      <c r="B39" s="123">
        <f t="shared" si="2"/>
        <v>1.55</v>
      </c>
      <c r="C39" s="124">
        <f t="shared" si="5"/>
        <v>1.66</v>
      </c>
      <c r="D39" s="125">
        <f t="shared" si="6"/>
        <v>1.75</v>
      </c>
      <c r="E39" s="116">
        <v>1.2949999999999999</v>
      </c>
      <c r="F39" s="117">
        <v>1.345</v>
      </c>
      <c r="G39" s="118">
        <v>1.5449999999999999</v>
      </c>
      <c r="H39" s="126">
        <f t="shared" si="10"/>
        <v>1.38</v>
      </c>
      <c r="I39" s="126">
        <f t="shared" si="10"/>
        <v>1.37</v>
      </c>
      <c r="J39" s="126">
        <f t="shared" si="10"/>
        <v>1.56</v>
      </c>
      <c r="K39" s="130">
        <f t="shared" si="11"/>
        <v>1.4083333333333332</v>
      </c>
      <c r="L39" s="120">
        <f t="shared" si="11"/>
        <v>1.4583333333333333</v>
      </c>
      <c r="M39" s="121">
        <f t="shared" si="11"/>
        <v>1.6183333333333334</v>
      </c>
      <c r="N39" s="136">
        <f t="shared" si="1"/>
        <v>43920</v>
      </c>
      <c r="P39" s="122">
        <f t="shared" si="3"/>
        <v>8.4999999999999964E-2</v>
      </c>
    </row>
    <row r="40" spans="1:16" s="134" customFormat="1" ht="13" x14ac:dyDescent="0.3">
      <c r="A40" s="129">
        <f t="shared" si="4"/>
        <v>43921</v>
      </c>
      <c r="B40" s="123">
        <f t="shared" si="2"/>
        <v>1.55</v>
      </c>
      <c r="C40" s="124">
        <f t="shared" si="5"/>
        <v>1.66</v>
      </c>
      <c r="D40" s="125">
        <f t="shared" si="6"/>
        <v>1.75</v>
      </c>
      <c r="E40" s="116">
        <v>1.34</v>
      </c>
      <c r="F40" s="117">
        <v>1.415</v>
      </c>
      <c r="G40" s="118">
        <v>1.59</v>
      </c>
      <c r="H40" s="128">
        <v>1.37</v>
      </c>
      <c r="I40" s="128">
        <v>1.44</v>
      </c>
      <c r="J40" s="128">
        <v>1.43</v>
      </c>
      <c r="K40" s="130">
        <f t="shared" si="11"/>
        <v>1.42</v>
      </c>
      <c r="L40" s="131">
        <f t="shared" si="11"/>
        <v>1.5050000000000001</v>
      </c>
      <c r="M40" s="132">
        <f t="shared" si="11"/>
        <v>1.5899999999999999</v>
      </c>
      <c r="N40" s="133">
        <f t="shared" si="1"/>
        <v>43921</v>
      </c>
      <c r="P40" s="135">
        <f t="shared" si="3"/>
        <v>3.0000000000000027E-2</v>
      </c>
    </row>
    <row r="41" spans="1:16" x14ac:dyDescent="0.25">
      <c r="B41" s="123"/>
      <c r="C41" s="124"/>
      <c r="D41" s="125"/>
      <c r="E41" s="137"/>
      <c r="F41" s="138"/>
      <c r="G41" s="139"/>
      <c r="H41" s="137"/>
      <c r="I41" s="138"/>
      <c r="J41" s="139"/>
      <c r="K41" s="119"/>
      <c r="L41" s="120"/>
      <c r="M41" s="121"/>
    </row>
    <row r="42" spans="1:16" s="134" customFormat="1" ht="13" x14ac:dyDescent="0.3">
      <c r="A42" s="140" t="s">
        <v>90</v>
      </c>
      <c r="B42" s="141">
        <f t="shared" ref="B42:M42" si="12">AVERAGE(B10:B40)</f>
        <v>1.5499999999999994</v>
      </c>
      <c r="C42" s="141">
        <f t="shared" si="12"/>
        <v>1.6599999999999986</v>
      </c>
      <c r="D42" s="141">
        <f t="shared" si="12"/>
        <v>1.75</v>
      </c>
      <c r="E42" s="141">
        <f t="shared" si="12"/>
        <v>1.4708064516129036</v>
      </c>
      <c r="F42" s="141">
        <f t="shared" si="12"/>
        <v>1.5280645161290323</v>
      </c>
      <c r="G42" s="141">
        <f t="shared" si="12"/>
        <v>1.6735483870967749</v>
      </c>
      <c r="H42" s="141">
        <f t="shared" si="12"/>
        <v>1.48483870967742</v>
      </c>
      <c r="I42" s="141">
        <f t="shared" si="12"/>
        <v>1.5609677419354828</v>
      </c>
      <c r="J42" s="141">
        <f t="shared" si="12"/>
        <v>1.6629032258064524</v>
      </c>
      <c r="K42" s="141">
        <f t="shared" si="12"/>
        <v>1.5018817204301069</v>
      </c>
      <c r="L42" s="141">
        <f t="shared" si="12"/>
        <v>1.5830107526881725</v>
      </c>
      <c r="M42" s="141">
        <f t="shared" si="12"/>
        <v>1.6954838709677416</v>
      </c>
      <c r="N42" s="142"/>
    </row>
    <row r="43" spans="1:16" x14ac:dyDescent="0.25">
      <c r="B43" s="143"/>
      <c r="C43" s="143"/>
      <c r="D43" s="143"/>
      <c r="E43" s="143"/>
      <c r="F43" s="143"/>
      <c r="G43" s="143"/>
      <c r="H43" s="143"/>
      <c r="I43" s="143"/>
      <c r="J43" s="143"/>
      <c r="K43" s="144"/>
      <c r="L43" s="145"/>
    </row>
    <row r="44" spans="1:16" ht="13" x14ac:dyDescent="0.3">
      <c r="B44" s="143"/>
      <c r="C44" s="143"/>
      <c r="D44" s="143"/>
      <c r="E44" s="143"/>
      <c r="F44" s="172"/>
      <c r="G44" s="172"/>
      <c r="H44" s="173"/>
      <c r="I44" s="172"/>
      <c r="J44" s="174"/>
      <c r="K44" s="144"/>
      <c r="L44" s="145"/>
    </row>
    <row r="45" spans="1:16" x14ac:dyDescent="0.25">
      <c r="B45" s="143"/>
      <c r="C45" s="143"/>
      <c r="D45" s="143"/>
      <c r="E45" s="143"/>
      <c r="F45" s="143"/>
      <c r="G45" s="143"/>
      <c r="H45" s="143"/>
      <c r="I45" s="143"/>
      <c r="J45" s="143"/>
      <c r="K45" s="144"/>
      <c r="L45" s="145"/>
    </row>
    <row r="46" spans="1:16" x14ac:dyDescent="0.25">
      <c r="B46" s="143"/>
      <c r="C46" s="143"/>
      <c r="D46" s="143"/>
      <c r="E46" s="143"/>
      <c r="F46" s="143"/>
      <c r="G46" s="143"/>
      <c r="H46" s="143"/>
      <c r="I46" s="143"/>
      <c r="J46" s="143"/>
      <c r="K46" s="144"/>
      <c r="L46" s="145"/>
    </row>
    <row r="47" spans="1:16" x14ac:dyDescent="0.25">
      <c r="B47" s="143"/>
      <c r="C47" s="143"/>
      <c r="D47" s="143"/>
      <c r="E47" s="143"/>
      <c r="F47" s="143"/>
      <c r="G47" s="143"/>
      <c r="H47" s="143"/>
      <c r="I47" s="143"/>
      <c r="J47" s="143"/>
      <c r="K47" s="144"/>
      <c r="L47" s="145"/>
    </row>
    <row r="48" spans="1:16" ht="13" x14ac:dyDescent="0.3">
      <c r="A48" s="147" t="s">
        <v>91</v>
      </c>
      <c r="B48" s="148"/>
      <c r="C48" s="148"/>
      <c r="D48" s="148"/>
      <c r="E48" s="148"/>
      <c r="F48" s="148"/>
      <c r="G48" s="148"/>
      <c r="H48" s="148"/>
      <c r="I48" s="148"/>
      <c r="J48" s="149"/>
      <c r="K48" s="144"/>
      <c r="L48" s="145"/>
    </row>
    <row r="49" spans="1:17" x14ac:dyDescent="0.25">
      <c r="A49" s="150"/>
      <c r="B49" s="120"/>
      <c r="C49" s="120"/>
      <c r="D49" s="120"/>
      <c r="E49" s="120"/>
      <c r="F49" s="120"/>
      <c r="G49" s="120"/>
      <c r="H49" s="120"/>
      <c r="I49" s="120"/>
      <c r="J49" s="151"/>
      <c r="K49" s="144"/>
      <c r="L49" s="145"/>
    </row>
    <row r="50" spans="1:17" ht="14" x14ac:dyDescent="0.3">
      <c r="A50" s="152"/>
      <c r="B50" s="153"/>
      <c r="C50" s="153"/>
      <c r="D50" s="153"/>
      <c r="E50" s="154" t="s">
        <v>92</v>
      </c>
      <c r="F50" s="154" t="s">
        <v>92</v>
      </c>
      <c r="G50" s="154" t="s">
        <v>93</v>
      </c>
      <c r="H50" s="153"/>
      <c r="I50" s="153"/>
      <c r="J50" s="155"/>
      <c r="L50" s="145"/>
      <c r="M50" s="156"/>
    </row>
    <row r="51" spans="1:17" ht="15" customHeight="1" x14ac:dyDescent="0.3">
      <c r="A51" s="152"/>
      <c r="B51" s="157" t="s">
        <v>42</v>
      </c>
      <c r="C51" s="157" t="s">
        <v>94</v>
      </c>
      <c r="D51" s="153"/>
      <c r="E51" s="157" t="s">
        <v>95</v>
      </c>
      <c r="F51" s="157" t="s">
        <v>96</v>
      </c>
      <c r="G51" s="157" t="s">
        <v>96</v>
      </c>
      <c r="H51" s="205" t="s">
        <v>97</v>
      </c>
      <c r="I51" s="205"/>
      <c r="J51" s="155"/>
      <c r="K51" s="158"/>
      <c r="L51" s="159"/>
      <c r="M51" s="156"/>
    </row>
    <row r="52" spans="1:17" ht="15" customHeight="1" x14ac:dyDescent="0.3">
      <c r="A52" s="152"/>
      <c r="B52" s="153" t="s">
        <v>55</v>
      </c>
      <c r="C52" s="153" t="s">
        <v>98</v>
      </c>
      <c r="D52" s="153"/>
      <c r="E52" s="160">
        <f>307140-2000-62000-4000-2000-2000-6000-42000-38080-32860-2000-2000</f>
        <v>112200</v>
      </c>
      <c r="F52" s="161">
        <f>519736.65-3560-104160-6610-3545-3550-10005-69855-3285-3265-73935-84918.4</f>
        <v>153048.25000000003</v>
      </c>
      <c r="G52" s="162">
        <f>E52*$K$42</f>
        <v>168511.129032258</v>
      </c>
      <c r="H52" s="153"/>
      <c r="I52" s="163">
        <f>G52-F52</f>
        <v>15462.879032257973</v>
      </c>
      <c r="J52" s="155"/>
      <c r="L52" s="145"/>
      <c r="M52" s="156"/>
    </row>
    <row r="53" spans="1:17" ht="14" x14ac:dyDescent="0.3">
      <c r="A53" s="152"/>
      <c r="B53" s="153" t="s">
        <v>62</v>
      </c>
      <c r="C53" s="153" t="s">
        <v>99</v>
      </c>
      <c r="D53" s="153"/>
      <c r="E53" s="160">
        <v>0</v>
      </c>
      <c r="F53" s="161">
        <v>0</v>
      </c>
      <c r="G53" s="162">
        <f>E53*$L$42</f>
        <v>0</v>
      </c>
      <c r="H53" s="153"/>
      <c r="I53" s="163">
        <f t="shared" ref="I53:I54" si="13">G53-F53</f>
        <v>0</v>
      </c>
      <c r="J53" s="155"/>
      <c r="L53" s="145"/>
      <c r="M53" s="156"/>
    </row>
    <row r="54" spans="1:17" s="81" customFormat="1" ht="14" x14ac:dyDescent="0.3">
      <c r="A54" s="152"/>
      <c r="B54" s="153" t="s">
        <v>100</v>
      </c>
      <c r="C54" s="153">
        <v>500</v>
      </c>
      <c r="D54" s="153"/>
      <c r="E54" s="160">
        <f>2000+62000+4000+2000+2000+6000+42000+2000+2000</f>
        <v>124000</v>
      </c>
      <c r="F54" s="161">
        <f>3560+104160+6610+3545+3550+10005+69855+3285+3265</f>
        <v>207835</v>
      </c>
      <c r="G54" s="162">
        <f>E54*$M$42</f>
        <v>210239.99999999994</v>
      </c>
      <c r="H54" s="153"/>
      <c r="I54" s="163">
        <f t="shared" si="13"/>
        <v>2404.9999999999418</v>
      </c>
      <c r="J54" s="155"/>
      <c r="L54" s="145"/>
      <c r="M54" s="156"/>
      <c r="O54" s="82"/>
      <c r="P54" s="82"/>
      <c r="Q54" s="82"/>
    </row>
    <row r="55" spans="1:17" s="81" customFormat="1" ht="14.5" thickBot="1" x14ac:dyDescent="0.35">
      <c r="A55" s="152"/>
      <c r="B55" s="153"/>
      <c r="C55" s="153"/>
      <c r="D55" s="153"/>
      <c r="E55" s="160"/>
      <c r="F55" s="161"/>
      <c r="G55" s="153"/>
      <c r="H55" s="153"/>
      <c r="I55" s="153"/>
      <c r="J55" s="155"/>
      <c r="L55" s="145"/>
      <c r="M55" s="156"/>
      <c r="O55" s="82"/>
      <c r="P55" s="82"/>
      <c r="Q55" s="82"/>
    </row>
    <row r="56" spans="1:17" s="81" customFormat="1" ht="14.5" thickBot="1" x14ac:dyDescent="0.35">
      <c r="A56" s="152"/>
      <c r="B56" s="153"/>
      <c r="C56" s="153"/>
      <c r="D56" s="153"/>
      <c r="E56" s="160"/>
      <c r="F56" s="161"/>
      <c r="G56" s="153"/>
      <c r="H56" s="164"/>
      <c r="I56" s="165">
        <f>SUM(I52:I55)</f>
        <v>17867.879032257915</v>
      </c>
      <c r="J56" s="155"/>
      <c r="L56" s="145"/>
      <c r="M56" s="156"/>
      <c r="O56" s="82"/>
      <c r="P56" s="82"/>
      <c r="Q56" s="82"/>
    </row>
    <row r="57" spans="1:17" s="81" customFormat="1" ht="14" x14ac:dyDescent="0.3">
      <c r="A57" s="166"/>
      <c r="B57" s="167"/>
      <c r="C57" s="167"/>
      <c r="D57" s="167"/>
      <c r="E57" s="168"/>
      <c r="F57" s="167"/>
      <c r="G57" s="167"/>
      <c r="H57" s="167"/>
      <c r="I57" s="167"/>
      <c r="J57" s="169"/>
      <c r="L57" s="145"/>
      <c r="M57" s="156"/>
      <c r="O57" s="82"/>
      <c r="P57" s="82"/>
      <c r="Q57" s="82"/>
    </row>
    <row r="58" spans="1:17" s="81" customFormat="1" ht="14" x14ac:dyDescent="0.3">
      <c r="A58" s="87"/>
      <c r="L58" s="145"/>
      <c r="M58" s="156"/>
      <c r="O58" s="82"/>
      <c r="P58" s="82"/>
      <c r="Q58" s="82"/>
    </row>
    <row r="59" spans="1:17" s="81" customFormat="1" ht="14" x14ac:dyDescent="0.3">
      <c r="A59" s="170"/>
      <c r="L59" s="145"/>
      <c r="M59" s="156"/>
      <c r="O59" s="82"/>
      <c r="P59" s="82"/>
      <c r="Q59" s="82"/>
    </row>
    <row r="60" spans="1:17" s="81" customFormat="1" ht="14" x14ac:dyDescent="0.3">
      <c r="A60" s="87"/>
      <c r="L60" s="145"/>
      <c r="M60" s="156"/>
      <c r="O60" s="82"/>
      <c r="P60" s="82"/>
      <c r="Q60" s="82"/>
    </row>
    <row r="61" spans="1:17" s="81" customFormat="1" x14ac:dyDescent="0.25">
      <c r="A61" s="87"/>
      <c r="B61" s="143"/>
      <c r="C61" s="143"/>
      <c r="D61" s="143"/>
      <c r="E61" s="143"/>
      <c r="F61" s="143"/>
      <c r="G61" s="143"/>
      <c r="H61" s="143"/>
      <c r="I61" s="143"/>
      <c r="J61" s="143"/>
      <c r="K61" s="144"/>
      <c r="L61" s="145"/>
      <c r="O61" s="82"/>
      <c r="P61" s="82"/>
      <c r="Q61" s="82"/>
    </row>
    <row r="62" spans="1:17" s="81" customFormat="1" ht="13" x14ac:dyDescent="0.3">
      <c r="A62" s="147" t="s">
        <v>101</v>
      </c>
      <c r="B62" s="148"/>
      <c r="C62" s="148"/>
      <c r="D62" s="148"/>
      <c r="E62" s="148"/>
      <c r="F62" s="148"/>
      <c r="G62" s="148"/>
      <c r="H62" s="148"/>
      <c r="I62" s="148"/>
      <c r="J62" s="149"/>
      <c r="K62" s="144"/>
      <c r="L62" s="145"/>
      <c r="O62" s="82"/>
      <c r="P62" s="82"/>
      <c r="Q62" s="82"/>
    </row>
    <row r="63" spans="1:17" s="81" customFormat="1" x14ac:dyDescent="0.25">
      <c r="A63" s="150"/>
      <c r="B63" s="120"/>
      <c r="C63" s="120"/>
      <c r="D63" s="120"/>
      <c r="E63" s="120"/>
      <c r="F63" s="120"/>
      <c r="G63" s="120"/>
      <c r="H63" s="120"/>
      <c r="I63" s="120"/>
      <c r="J63" s="151"/>
      <c r="K63" s="144"/>
      <c r="L63" s="145"/>
      <c r="O63" s="82"/>
      <c r="P63" s="82"/>
      <c r="Q63" s="82"/>
    </row>
    <row r="64" spans="1:17" s="81" customFormat="1" ht="13" x14ac:dyDescent="0.3">
      <c r="A64" s="152"/>
      <c r="B64" s="153"/>
      <c r="C64" s="153"/>
      <c r="D64" s="153"/>
      <c r="E64" s="154" t="s">
        <v>92</v>
      </c>
      <c r="F64" s="154" t="s">
        <v>92</v>
      </c>
      <c r="G64" s="154" t="s">
        <v>93</v>
      </c>
      <c r="H64" s="153"/>
      <c r="I64" s="153"/>
      <c r="J64" s="155"/>
      <c r="L64" s="145"/>
      <c r="M64" s="171"/>
      <c r="O64" s="82"/>
      <c r="P64" s="82"/>
      <c r="Q64" s="82"/>
    </row>
    <row r="65" spans="1:17" s="81" customFormat="1" ht="13" x14ac:dyDescent="0.3">
      <c r="A65" s="152"/>
      <c r="B65" s="157" t="s">
        <v>42</v>
      </c>
      <c r="C65" s="157" t="s">
        <v>94</v>
      </c>
      <c r="D65" s="153"/>
      <c r="E65" s="157" t="s">
        <v>95</v>
      </c>
      <c r="F65" s="157" t="s">
        <v>96</v>
      </c>
      <c r="G65" s="157" t="s">
        <v>96</v>
      </c>
      <c r="H65" s="205" t="s">
        <v>97</v>
      </c>
      <c r="I65" s="205"/>
      <c r="J65" s="155"/>
      <c r="L65" s="145"/>
      <c r="O65" s="82"/>
      <c r="P65" s="82"/>
      <c r="Q65" s="82"/>
    </row>
    <row r="66" spans="1:17" x14ac:dyDescent="0.25">
      <c r="A66" s="152"/>
      <c r="B66" s="153" t="s">
        <v>55</v>
      </c>
      <c r="C66" s="153" t="s">
        <v>98</v>
      </c>
      <c r="D66" s="153"/>
      <c r="E66" s="160">
        <f>236200-2000-62000-4000-2000-2000-6000-42000-2000-2000</f>
        <v>112200</v>
      </c>
      <c r="F66" s="161">
        <f>360883.25-3560-104160-6610-3545-3550-10005-69855-3285-3265</f>
        <v>153048.25</v>
      </c>
      <c r="G66" s="162">
        <f>E66*$K$42</f>
        <v>168511.129032258</v>
      </c>
      <c r="H66" s="153"/>
      <c r="I66" s="163">
        <f>G66-F66</f>
        <v>15462.879032258003</v>
      </c>
      <c r="J66" s="155"/>
    </row>
    <row r="67" spans="1:17" s="81" customFormat="1" x14ac:dyDescent="0.25">
      <c r="A67" s="152"/>
      <c r="B67" s="153" t="s">
        <v>62</v>
      </c>
      <c r="C67" s="153" t="s">
        <v>99</v>
      </c>
      <c r="D67" s="153"/>
      <c r="E67" s="160">
        <v>0</v>
      </c>
      <c r="F67" s="161">
        <v>0</v>
      </c>
      <c r="G67" s="162">
        <f>E67*$L$42</f>
        <v>0</v>
      </c>
      <c r="H67" s="153"/>
      <c r="I67" s="163">
        <f t="shared" ref="I67:I68" si="14">G67-F67</f>
        <v>0</v>
      </c>
      <c r="J67" s="155"/>
      <c r="K67" s="144"/>
      <c r="L67" s="145"/>
      <c r="O67" s="82"/>
      <c r="P67" s="82"/>
      <c r="Q67" s="82"/>
    </row>
    <row r="68" spans="1:17" s="81" customFormat="1" x14ac:dyDescent="0.25">
      <c r="A68" s="152"/>
      <c r="B68" s="153" t="s">
        <v>100</v>
      </c>
      <c r="C68" s="153">
        <v>500</v>
      </c>
      <c r="D68" s="153"/>
      <c r="E68" s="160">
        <f>236200-112200</f>
        <v>124000</v>
      </c>
      <c r="F68" s="161">
        <f>360883.25-153048.25</f>
        <v>207835</v>
      </c>
      <c r="G68" s="162">
        <f>E68*$M$42</f>
        <v>210239.99999999994</v>
      </c>
      <c r="H68" s="153"/>
      <c r="I68" s="163">
        <f t="shared" si="14"/>
        <v>2404.9999999999418</v>
      </c>
      <c r="J68" s="155"/>
      <c r="K68" s="144"/>
      <c r="L68" s="145"/>
      <c r="O68" s="82"/>
      <c r="P68" s="82"/>
      <c r="Q68" s="82"/>
    </row>
    <row r="69" spans="1:17" s="81" customFormat="1" ht="13" thickBot="1" x14ac:dyDescent="0.3">
      <c r="A69" s="152"/>
      <c r="B69" s="153"/>
      <c r="C69" s="153"/>
      <c r="D69" s="153"/>
      <c r="E69" s="160"/>
      <c r="F69" s="161"/>
      <c r="G69" s="153"/>
      <c r="H69" s="153"/>
      <c r="I69" s="153"/>
      <c r="J69" s="155"/>
      <c r="K69" s="144"/>
      <c r="L69" s="145"/>
      <c r="O69" s="82"/>
      <c r="P69" s="82"/>
      <c r="Q69" s="82"/>
    </row>
    <row r="70" spans="1:17" s="81" customFormat="1" ht="13" thickBot="1" x14ac:dyDescent="0.3">
      <c r="A70" s="152"/>
      <c r="B70" s="153"/>
      <c r="C70" s="153"/>
      <c r="D70" s="153"/>
      <c r="E70" s="160"/>
      <c r="F70" s="161"/>
      <c r="G70" s="153"/>
      <c r="H70" s="164"/>
      <c r="I70" s="165">
        <f>SUM(I66:I69)</f>
        <v>17867.879032257944</v>
      </c>
      <c r="J70" s="155"/>
      <c r="L70" s="145"/>
      <c r="M70" s="171"/>
      <c r="O70" s="82"/>
      <c r="P70" s="82"/>
      <c r="Q70" s="82"/>
    </row>
    <row r="71" spans="1:17" s="81" customFormat="1" x14ac:dyDescent="0.25">
      <c r="A71" s="166"/>
      <c r="B71" s="167"/>
      <c r="C71" s="167"/>
      <c r="D71" s="167"/>
      <c r="E71" s="168"/>
      <c r="F71" s="167"/>
      <c r="G71" s="167"/>
      <c r="H71" s="167"/>
      <c r="I71" s="167"/>
      <c r="J71" s="169"/>
      <c r="L71" s="145"/>
      <c r="O71" s="82"/>
      <c r="P71" s="82"/>
      <c r="Q71" s="82"/>
    </row>
    <row r="72" spans="1:17" s="81" customFormat="1" x14ac:dyDescent="0.25">
      <c r="A72" s="87"/>
      <c r="L72" s="145"/>
      <c r="O72" s="82"/>
      <c r="P72" s="82"/>
      <c r="Q72" s="82"/>
    </row>
    <row r="73" spans="1:17" ht="13" x14ac:dyDescent="0.3">
      <c r="A73" s="170"/>
    </row>
    <row r="74" spans="1:17" s="81" customFormat="1" x14ac:dyDescent="0.25">
      <c r="A74" s="87"/>
      <c r="L74" s="145"/>
      <c r="M74" s="171"/>
      <c r="O74" s="82"/>
      <c r="P74" s="82"/>
      <c r="Q74" s="82"/>
    </row>
    <row r="75" spans="1:17" s="81" customFormat="1" x14ac:dyDescent="0.25">
      <c r="A75" s="87"/>
      <c r="B75" s="143"/>
      <c r="C75" s="143"/>
      <c r="D75" s="143"/>
      <c r="E75" s="143"/>
      <c r="F75" s="143"/>
      <c r="G75" s="143"/>
      <c r="H75" s="143"/>
      <c r="I75" s="143"/>
      <c r="J75" s="143"/>
      <c r="K75" s="144"/>
      <c r="L75" s="145"/>
      <c r="O75" s="82"/>
      <c r="P75" s="82"/>
      <c r="Q75" s="82"/>
    </row>
    <row r="76" spans="1:17" s="81" customFormat="1" x14ac:dyDescent="0.25">
      <c r="A76" s="87"/>
      <c r="B76" s="143"/>
      <c r="C76" s="143"/>
      <c r="D76" s="143"/>
      <c r="E76" s="143"/>
      <c r="F76" s="143"/>
      <c r="G76" s="143"/>
      <c r="H76" s="143"/>
      <c r="I76" s="143"/>
      <c r="J76" s="143"/>
      <c r="K76" s="144"/>
      <c r="L76" s="145"/>
      <c r="M76" s="143"/>
      <c r="O76" s="82"/>
      <c r="P76" s="82"/>
      <c r="Q76" s="82"/>
    </row>
    <row r="77" spans="1:17" s="81" customFormat="1" x14ac:dyDescent="0.25">
      <c r="A77" s="87"/>
      <c r="B77" s="143"/>
      <c r="C77" s="143"/>
      <c r="D77" s="143"/>
      <c r="E77" s="143"/>
      <c r="F77" s="143"/>
      <c r="G77" s="143"/>
      <c r="H77" s="143"/>
      <c r="I77" s="143"/>
      <c r="J77" s="143"/>
      <c r="K77" s="144"/>
      <c r="L77" s="145"/>
      <c r="O77" s="82"/>
      <c r="P77" s="82"/>
      <c r="Q77" s="82"/>
    </row>
    <row r="78" spans="1:17" s="81" customFormat="1" x14ac:dyDescent="0.25">
      <c r="A78" s="87"/>
      <c r="B78" s="143"/>
      <c r="C78" s="143"/>
      <c r="D78" s="143"/>
      <c r="E78" s="143"/>
      <c r="F78" s="143"/>
      <c r="G78" s="143"/>
      <c r="H78" s="143"/>
      <c r="I78" s="143"/>
      <c r="J78" s="143"/>
      <c r="K78" s="144"/>
      <c r="L78" s="145"/>
      <c r="M78" s="171"/>
      <c r="O78" s="82"/>
      <c r="P78" s="82"/>
      <c r="Q78" s="82"/>
    </row>
    <row r="79" spans="1:17" s="81" customFormat="1" x14ac:dyDescent="0.25">
      <c r="A79" s="87"/>
      <c r="B79" s="143"/>
      <c r="C79" s="143"/>
      <c r="D79" s="143"/>
      <c r="E79" s="143"/>
      <c r="F79" s="143"/>
      <c r="G79" s="143"/>
      <c r="H79" s="143"/>
      <c r="I79" s="143"/>
      <c r="J79" s="143"/>
      <c r="K79" s="144"/>
      <c r="L79" s="145"/>
      <c r="O79" s="82"/>
      <c r="P79" s="82"/>
      <c r="Q79" s="82"/>
    </row>
    <row r="80" spans="1:17" s="81" customFormat="1" x14ac:dyDescent="0.25">
      <c r="A80" s="87"/>
      <c r="L80" s="145"/>
      <c r="O80" s="82"/>
      <c r="P80" s="82"/>
      <c r="Q80" s="82"/>
    </row>
    <row r="81" spans="1:17" s="81" customFormat="1" x14ac:dyDescent="0.25">
      <c r="A81" s="87"/>
      <c r="L81" s="145"/>
      <c r="O81" s="82"/>
      <c r="P81" s="82"/>
      <c r="Q81" s="82"/>
    </row>
    <row r="82" spans="1:17" s="81" customFormat="1" x14ac:dyDescent="0.25">
      <c r="A82" s="87"/>
      <c r="B82" s="143"/>
      <c r="C82" s="143"/>
      <c r="D82" s="143"/>
      <c r="E82" s="143"/>
      <c r="F82" s="143"/>
      <c r="G82" s="143"/>
      <c r="H82" s="143"/>
      <c r="I82" s="143"/>
      <c r="J82" s="143"/>
      <c r="L82" s="145"/>
      <c r="M82" s="171"/>
      <c r="O82" s="82"/>
      <c r="P82" s="82"/>
      <c r="Q82" s="82"/>
    </row>
  </sheetData>
  <mergeCells count="8">
    <mergeCell ref="H51:I51"/>
    <mergeCell ref="H65:I65"/>
    <mergeCell ref="H6:J6"/>
    <mergeCell ref="K6:M6"/>
    <mergeCell ref="B7:D7"/>
    <mergeCell ref="E7:G7"/>
    <mergeCell ref="H7:J7"/>
    <mergeCell ref="K7:M7"/>
  </mergeCells>
  <pageMargins left="0" right="0" top="0.53" bottom="0.74" header="0.21" footer="0.4"/>
  <pageSetup scale="75" fitToHeight="0" orientation="portrait" r:id="rId1"/>
  <headerFooter alignWithMargins="0">
    <oddHeader xml:space="preserve">&amp;RKY PSC CN 2020-00378  
 Staff's Data Request Set 1 No. 5 Attachment C  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view="pageLayout" zoomScaleNormal="100" zoomScaleSheetLayoutView="100" workbookViewId="0">
      <selection activeCell="H2" sqref="H2"/>
    </sheetView>
  </sheetViews>
  <sheetFormatPr defaultColWidth="9.1796875" defaultRowHeight="15.5" x14ac:dyDescent="0.35"/>
  <cols>
    <col min="1" max="1" width="4.26953125" style="2" customWidth="1"/>
    <col min="2" max="2" width="16.7265625" style="2" customWidth="1"/>
    <col min="3" max="3" width="18.54296875" style="2" customWidth="1"/>
    <col min="4" max="4" width="16.1796875" style="2" customWidth="1"/>
    <col min="5" max="5" width="5.54296875" style="2" customWidth="1"/>
    <col min="6" max="6" width="18" style="2" customWidth="1"/>
    <col min="7" max="7" width="5.1796875" style="2" customWidth="1"/>
    <col min="8" max="8" width="32.54296875" style="2" customWidth="1"/>
    <col min="9" max="9" width="12" style="2" bestFit="1" customWidth="1"/>
    <col min="10" max="16384" width="9.1796875" style="2"/>
  </cols>
  <sheetData>
    <row r="1" spans="1:8" ht="18.5" x14ac:dyDescent="0.45">
      <c r="A1" s="1" t="s">
        <v>0</v>
      </c>
    </row>
    <row r="2" spans="1:8" ht="18.5" x14ac:dyDescent="0.45">
      <c r="A2" s="1" t="s">
        <v>1</v>
      </c>
    </row>
    <row r="3" spans="1:8" ht="18.5" x14ac:dyDescent="0.45">
      <c r="A3" s="3" t="s">
        <v>2</v>
      </c>
      <c r="C3" s="4">
        <v>43922</v>
      </c>
    </row>
    <row r="5" spans="1:8" x14ac:dyDescent="0.35">
      <c r="B5" s="5"/>
      <c r="C5" s="5"/>
      <c r="D5" s="6">
        <f>C3</f>
        <v>43922</v>
      </c>
      <c r="E5" s="7"/>
      <c r="F5" s="6">
        <f>C3</f>
        <v>43922</v>
      </c>
      <c r="G5" s="6"/>
      <c r="H5" s="7"/>
    </row>
    <row r="6" spans="1:8" x14ac:dyDescent="0.35">
      <c r="A6" s="8" t="s">
        <v>3</v>
      </c>
      <c r="B6" s="9" t="s">
        <v>4</v>
      </c>
      <c r="C6" s="9"/>
      <c r="D6" s="10" t="s">
        <v>5</v>
      </c>
      <c r="E6" s="11"/>
      <c r="F6" s="10" t="s">
        <v>6</v>
      </c>
      <c r="G6" s="10"/>
      <c r="H6" s="12"/>
    </row>
    <row r="7" spans="1:8" x14ac:dyDescent="0.35">
      <c r="A7" s="13">
        <v>1</v>
      </c>
      <c r="B7" s="12" t="s">
        <v>7</v>
      </c>
      <c r="C7" s="12"/>
      <c r="D7" s="14">
        <f>D24*0.3</f>
        <v>13435.781700000001</v>
      </c>
      <c r="E7" s="15"/>
      <c r="F7" s="14">
        <f>F24*0.3</f>
        <v>13363.873139999998</v>
      </c>
      <c r="G7" s="15"/>
      <c r="H7" s="16" t="s">
        <v>8</v>
      </c>
    </row>
    <row r="8" spans="1:8" x14ac:dyDescent="0.35">
      <c r="A8" s="13">
        <f>A7+1</f>
        <v>2</v>
      </c>
      <c r="B8" s="12" t="s">
        <v>7</v>
      </c>
      <c r="C8" s="12"/>
      <c r="D8" s="17">
        <f>IF(D24&gt;0,(D16-D24)*0.5,0)</f>
        <v>23469.750499999998</v>
      </c>
      <c r="E8" s="18"/>
      <c r="F8" s="17">
        <f>IF(F24&gt;0,(F16-F24)*0.5,0)</f>
        <v>23589.598100000003</v>
      </c>
      <c r="G8" s="18"/>
      <c r="H8" s="16" t="s">
        <v>9</v>
      </c>
    </row>
    <row r="9" spans="1:8" x14ac:dyDescent="0.35">
      <c r="A9" s="13">
        <f>A8+1</f>
        <v>3</v>
      </c>
      <c r="B9" s="19" t="s">
        <v>10</v>
      </c>
      <c r="C9" s="19"/>
      <c r="D9" s="20">
        <f>D7+D8</f>
        <v>36905.532200000001</v>
      </c>
      <c r="E9" s="21"/>
      <c r="F9" s="20">
        <f>F7+F8</f>
        <v>36953.471239999999</v>
      </c>
      <c r="G9" s="21"/>
      <c r="H9" s="22"/>
    </row>
    <row r="10" spans="1:8" x14ac:dyDescent="0.35">
      <c r="A10" s="13"/>
      <c r="B10" s="12"/>
      <c r="C10" s="12"/>
      <c r="D10" s="24"/>
      <c r="E10" s="25"/>
      <c r="F10" s="25"/>
      <c r="G10" s="25"/>
      <c r="H10" s="22"/>
    </row>
    <row r="11" spans="1:8" x14ac:dyDescent="0.35">
      <c r="A11" s="13">
        <f>A9+1</f>
        <v>4</v>
      </c>
      <c r="B11" s="12" t="s">
        <v>11</v>
      </c>
      <c r="C11" s="12"/>
      <c r="D11" s="26">
        <v>0</v>
      </c>
      <c r="E11" s="27"/>
      <c r="F11" s="26">
        <v>0</v>
      </c>
      <c r="G11" s="28"/>
      <c r="H11" s="38"/>
    </row>
    <row r="12" spans="1:8" x14ac:dyDescent="0.35">
      <c r="A12" s="13">
        <f>A11+1</f>
        <v>5</v>
      </c>
      <c r="B12" s="12" t="s">
        <v>12</v>
      </c>
      <c r="C12" s="12"/>
      <c r="D12" s="29">
        <v>57129.15</v>
      </c>
      <c r="E12" s="30"/>
      <c r="F12" s="26">
        <v>57129.15</v>
      </c>
      <c r="G12" s="31"/>
      <c r="H12" s="22"/>
    </row>
    <row r="13" spans="1:8" x14ac:dyDescent="0.35">
      <c r="A13" s="13">
        <f>A12+1</f>
        <v>6</v>
      </c>
      <c r="B13" s="12" t="s">
        <v>13</v>
      </c>
      <c r="C13" s="32" t="s">
        <v>14</v>
      </c>
      <c r="D13" s="29">
        <v>4427.75</v>
      </c>
      <c r="E13" s="30"/>
      <c r="F13" s="26">
        <v>4427.75</v>
      </c>
      <c r="G13" s="31"/>
      <c r="H13" s="33"/>
    </row>
    <row r="14" spans="1:8" x14ac:dyDescent="0.35">
      <c r="A14" s="13"/>
      <c r="B14" s="12"/>
      <c r="C14" s="32" t="s">
        <v>15</v>
      </c>
      <c r="D14" s="29">
        <v>30168.54</v>
      </c>
      <c r="E14" s="34" t="s">
        <v>16</v>
      </c>
      <c r="F14" s="29">
        <v>30168.54</v>
      </c>
      <c r="G14" s="31"/>
      <c r="H14" s="33"/>
    </row>
    <row r="15" spans="1:8" x14ac:dyDescent="0.35">
      <c r="A15" s="13"/>
      <c r="B15" s="12"/>
      <c r="D15" s="35"/>
      <c r="E15" s="30"/>
      <c r="F15" s="31"/>
      <c r="G15" s="31"/>
      <c r="H15" s="36"/>
    </row>
    <row r="16" spans="1:8" x14ac:dyDescent="0.35">
      <c r="A16" s="13">
        <v>7</v>
      </c>
      <c r="B16" s="12" t="s">
        <v>17</v>
      </c>
      <c r="C16" s="12"/>
      <c r="D16" s="37">
        <f>D11+D12+D13+D14</f>
        <v>91725.440000000002</v>
      </c>
      <c r="E16" s="15"/>
      <c r="F16" s="14">
        <f>F11+F12+F13+F14</f>
        <v>91725.440000000002</v>
      </c>
      <c r="G16" s="15"/>
      <c r="H16" s="38"/>
    </row>
    <row r="17" spans="1:9" x14ac:dyDescent="0.35">
      <c r="D17" s="39"/>
      <c r="H17" s="38"/>
    </row>
    <row r="18" spans="1:9" x14ac:dyDescent="0.35">
      <c r="A18" s="13">
        <f>A16+1</f>
        <v>8</v>
      </c>
      <c r="B18" s="12" t="s">
        <v>18</v>
      </c>
      <c r="C18" s="12"/>
      <c r="D18" s="37">
        <f>D19+D20+D21+D22</f>
        <v>2239296.9500000002</v>
      </c>
      <c r="E18" s="31"/>
      <c r="F18" s="37">
        <f>F19+F20+F21+F22</f>
        <v>2227312.19</v>
      </c>
      <c r="G18" s="31"/>
      <c r="H18" s="23"/>
    </row>
    <row r="19" spans="1:9" x14ac:dyDescent="0.35">
      <c r="A19" s="13"/>
      <c r="B19" s="12"/>
      <c r="C19" s="12" t="s">
        <v>19</v>
      </c>
      <c r="D19" s="29">
        <f>979228.44-73935-36720</f>
        <v>868573.44</v>
      </c>
      <c r="E19" s="31"/>
      <c r="F19" s="29">
        <v>868573.44</v>
      </c>
      <c r="G19" s="31"/>
      <c r="H19" s="23"/>
      <c r="I19" s="23"/>
    </row>
    <row r="20" spans="1:9" x14ac:dyDescent="0.35">
      <c r="A20" s="13"/>
      <c r="B20" s="12"/>
      <c r="C20" s="12" t="s">
        <v>102</v>
      </c>
      <c r="D20" s="29">
        <v>36720</v>
      </c>
      <c r="E20" s="31" t="s">
        <v>21</v>
      </c>
      <c r="F20" s="29">
        <v>33662.04</v>
      </c>
      <c r="G20" s="31" t="s">
        <v>22</v>
      </c>
    </row>
    <row r="21" spans="1:9" x14ac:dyDescent="0.35">
      <c r="A21" s="13"/>
      <c r="B21" s="12"/>
      <c r="C21" s="12" t="s">
        <v>23</v>
      </c>
      <c r="D21" s="29">
        <v>0</v>
      </c>
      <c r="E21" s="31"/>
      <c r="F21" s="29">
        <v>0</v>
      </c>
      <c r="G21" s="31"/>
    </row>
    <row r="22" spans="1:9" x14ac:dyDescent="0.35">
      <c r="A22" s="13"/>
      <c r="B22" s="12"/>
      <c r="C22" s="12" t="s">
        <v>24</v>
      </c>
      <c r="D22" s="29">
        <v>1334003.51</v>
      </c>
      <c r="E22" s="31"/>
      <c r="F22" s="29">
        <v>1325076.71</v>
      </c>
      <c r="G22" s="31"/>
    </row>
    <row r="23" spans="1:9" x14ac:dyDescent="0.35">
      <c r="A23" s="13"/>
      <c r="B23" s="12"/>
      <c r="C23" s="12"/>
      <c r="D23" s="29"/>
      <c r="E23" s="31"/>
      <c r="F23" s="29"/>
      <c r="G23" s="31"/>
    </row>
    <row r="24" spans="1:9" x14ac:dyDescent="0.35">
      <c r="A24" s="13">
        <v>9</v>
      </c>
      <c r="B24" s="12" t="s">
        <v>25</v>
      </c>
      <c r="C24" s="12"/>
      <c r="D24" s="38">
        <f>IF((D16/D18)&gt;=0.02,0.02*D18,D16)</f>
        <v>44785.939000000006</v>
      </c>
      <c r="E24" s="40"/>
      <c r="F24" s="38">
        <f>IF((F16/F18)&gt;=0.02,0.02*F18,F16)</f>
        <v>44546.243799999997</v>
      </c>
      <c r="G24" s="40"/>
      <c r="H24" s="12"/>
    </row>
    <row r="25" spans="1:9" x14ac:dyDescent="0.35">
      <c r="A25" s="13"/>
      <c r="B25" s="12"/>
      <c r="C25" s="12"/>
      <c r="D25" s="40"/>
      <c r="E25" s="40"/>
      <c r="F25" s="40"/>
      <c r="G25" s="40"/>
      <c r="H25" s="12"/>
    </row>
    <row r="26" spans="1:9" x14ac:dyDescent="0.35">
      <c r="A26" s="13">
        <f>A24+1</f>
        <v>10</v>
      </c>
      <c r="B26" s="12" t="s">
        <v>26</v>
      </c>
      <c r="C26" s="12"/>
      <c r="D26" s="41">
        <f>(D11+D12+D13+D14)/D18</f>
        <v>4.0961713452072536E-2</v>
      </c>
      <c r="E26" s="41"/>
      <c r="F26" s="41">
        <f>(F11+F12+F13+F14)/F18</f>
        <v>4.1182120949106824E-2</v>
      </c>
      <c r="G26" s="41"/>
      <c r="H26" s="12"/>
    </row>
    <row r="27" spans="1:9" x14ac:dyDescent="0.35">
      <c r="B27" s="12"/>
      <c r="C27" s="12"/>
      <c r="D27" s="41"/>
      <c r="E27" s="41"/>
      <c r="F27" s="41"/>
      <c r="G27" s="41"/>
      <c r="H27" s="12"/>
    </row>
    <row r="28" spans="1:9" x14ac:dyDescent="0.35">
      <c r="B28" s="12"/>
      <c r="C28" s="12"/>
      <c r="D28" s="41"/>
      <c r="E28" s="41"/>
      <c r="F28" s="41"/>
      <c r="G28" s="41"/>
      <c r="H28" s="12"/>
    </row>
    <row r="29" spans="1:9" x14ac:dyDescent="0.35">
      <c r="A29" s="204" t="s">
        <v>27</v>
      </c>
      <c r="B29" s="204"/>
      <c r="C29" s="42"/>
    </row>
    <row r="30" spans="1:9" ht="15.75" customHeight="1" x14ac:dyDescent="0.35">
      <c r="A30" s="43" t="s">
        <v>28</v>
      </c>
      <c r="B30" s="44"/>
      <c r="C30" s="44"/>
      <c r="D30" s="45" t="s">
        <v>29</v>
      </c>
    </row>
    <row r="31" spans="1:9" ht="15.75" customHeight="1" x14ac:dyDescent="0.35">
      <c r="A31" s="43" t="s">
        <v>30</v>
      </c>
      <c r="B31" s="43"/>
      <c r="C31" s="44"/>
    </row>
    <row r="32" spans="1:9" ht="15" customHeight="1" x14ac:dyDescent="0.35">
      <c r="A32" s="43" t="s">
        <v>31</v>
      </c>
      <c r="B32" s="43"/>
      <c r="C32" s="44"/>
    </row>
    <row r="33" spans="1:3" ht="15.75" customHeight="1" x14ac:dyDescent="0.35">
      <c r="A33" s="43" t="s">
        <v>32</v>
      </c>
      <c r="B33" s="43"/>
      <c r="C33" s="44"/>
    </row>
    <row r="34" spans="1:3" ht="15.75" customHeight="1" x14ac:dyDescent="0.35">
      <c r="A34" s="43" t="s">
        <v>33</v>
      </c>
      <c r="B34" s="43"/>
      <c r="C34" s="44"/>
    </row>
    <row r="35" spans="1:3" ht="15.75" customHeight="1" x14ac:dyDescent="0.35">
      <c r="A35" s="43" t="s">
        <v>34</v>
      </c>
      <c r="B35" s="43"/>
      <c r="C35" s="44"/>
    </row>
    <row r="36" spans="1:3" ht="15.75" customHeight="1" x14ac:dyDescent="0.35">
      <c r="A36" s="43" t="s">
        <v>35</v>
      </c>
      <c r="B36" s="43"/>
      <c r="C36" s="44"/>
    </row>
    <row r="37" spans="1:3" ht="15.75" customHeight="1" x14ac:dyDescent="0.35">
      <c r="A37" s="43" t="s">
        <v>36</v>
      </c>
      <c r="B37" s="43"/>
      <c r="C37" s="44"/>
    </row>
    <row r="39" spans="1:3" x14ac:dyDescent="0.35">
      <c r="A39" s="46" t="s">
        <v>37</v>
      </c>
    </row>
    <row r="41" spans="1:3" x14ac:dyDescent="0.35">
      <c r="A41" s="47"/>
    </row>
    <row r="42" spans="1:3" x14ac:dyDescent="0.35">
      <c r="A42" s="47"/>
    </row>
    <row r="43" spans="1:3" x14ac:dyDescent="0.35">
      <c r="A43" s="47"/>
    </row>
  </sheetData>
  <mergeCells count="1">
    <mergeCell ref="A29:B29"/>
  </mergeCells>
  <pageMargins left="0.25" right="0.25" top="0.75" bottom="0.75" header="0.3" footer="0.3"/>
  <pageSetup scale="86" orientation="portrait" r:id="rId1"/>
  <headerFooter>
    <oddHeader xml:space="preserve">&amp;RKY PSC CN 2020-00378  
 Staff's Data Request Set 1 No. 5 Attachment C  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Layout" zoomScaleNormal="100" workbookViewId="0">
      <selection activeCell="L2" sqref="L2"/>
    </sheetView>
  </sheetViews>
  <sheetFormatPr defaultRowHeight="14.5" x14ac:dyDescent="0.35"/>
  <cols>
    <col min="1" max="1" width="15.26953125" customWidth="1"/>
    <col min="2" max="2" width="11.7265625" style="48" customWidth="1"/>
    <col min="3" max="3" width="9.26953125" style="48" customWidth="1"/>
    <col min="4" max="4" width="9.81640625" style="48" customWidth="1"/>
    <col min="5" max="5" width="7.81640625" style="48" customWidth="1"/>
    <col min="6" max="6" width="9.7265625" style="48" customWidth="1"/>
    <col min="7" max="7" width="10" style="49" customWidth="1"/>
    <col min="8" max="8" width="23.54296875" customWidth="1"/>
    <col min="9" max="9" width="1.453125" customWidth="1"/>
    <col min="10" max="10" width="15.26953125" style="50" customWidth="1"/>
    <col min="11" max="11" width="3.7265625" style="50" customWidth="1"/>
    <col min="12" max="12" width="22.453125" customWidth="1"/>
    <col min="14" max="14" width="16" customWidth="1"/>
    <col min="15" max="15" width="12.81640625" customWidth="1"/>
    <col min="16" max="16" width="11.81640625" bestFit="1" customWidth="1"/>
  </cols>
  <sheetData>
    <row r="1" spans="1:14" ht="18.5" x14ac:dyDescent="0.45">
      <c r="A1" s="1" t="s">
        <v>38</v>
      </c>
    </row>
    <row r="2" spans="1:14" ht="18.5" x14ac:dyDescent="0.45">
      <c r="A2" s="1"/>
    </row>
    <row r="3" spans="1:14" ht="18.5" x14ac:dyDescent="0.45">
      <c r="A3" s="1" t="s">
        <v>39</v>
      </c>
      <c r="B3" s="51">
        <f>'April 20 TCPS CALC'!C3</f>
        <v>43922</v>
      </c>
      <c r="C3" s="52"/>
    </row>
    <row r="5" spans="1:14" x14ac:dyDescent="0.35">
      <c r="D5" s="53" t="s">
        <v>40</v>
      </c>
      <c r="E5" s="53" t="s">
        <v>41</v>
      </c>
    </row>
    <row r="6" spans="1:14" x14ac:dyDescent="0.35">
      <c r="C6" s="54" t="s">
        <v>42</v>
      </c>
      <c r="D6" s="54" t="s">
        <v>43</v>
      </c>
      <c r="E6" s="54" t="s">
        <v>44</v>
      </c>
      <c r="F6" s="54" t="s">
        <v>45</v>
      </c>
      <c r="G6" s="55" t="s">
        <v>46</v>
      </c>
      <c r="H6" s="54" t="s">
        <v>47</v>
      </c>
      <c r="J6" s="56" t="s">
        <v>48</v>
      </c>
      <c r="K6" s="56"/>
      <c r="L6" s="56" t="s">
        <v>49</v>
      </c>
    </row>
    <row r="7" spans="1:14" x14ac:dyDescent="0.35">
      <c r="A7" t="s">
        <v>50</v>
      </c>
      <c r="B7" s="48" t="s">
        <v>51</v>
      </c>
      <c r="C7" s="48" t="s">
        <v>52</v>
      </c>
      <c r="D7" s="48">
        <v>352234</v>
      </c>
      <c r="E7" s="48" t="s">
        <v>53</v>
      </c>
      <c r="F7" s="57">
        <v>16000</v>
      </c>
      <c r="G7" s="58">
        <v>4.5805999999999996</v>
      </c>
      <c r="H7" s="59" t="s">
        <v>54</v>
      </c>
      <c r="J7" s="50">
        <f>F7*G7</f>
        <v>73289.599999999991</v>
      </c>
      <c r="K7" s="60"/>
      <c r="L7" s="50">
        <v>73289.600000000006</v>
      </c>
      <c r="M7" s="61"/>
      <c r="N7" s="50"/>
    </row>
    <row r="8" spans="1:14" x14ac:dyDescent="0.35">
      <c r="C8" s="48" t="s">
        <v>55</v>
      </c>
      <c r="D8" s="48">
        <v>80160</v>
      </c>
      <c r="E8" s="48" t="s">
        <v>56</v>
      </c>
      <c r="F8" s="57">
        <v>190880</v>
      </c>
      <c r="G8" s="58">
        <v>4.1849999999999996</v>
      </c>
      <c r="H8" s="59" t="s">
        <v>54</v>
      </c>
      <c r="J8" s="50">
        <f>F8*G8</f>
        <v>798832.79999999993</v>
      </c>
      <c r="K8" s="60"/>
      <c r="L8" s="50">
        <v>798832.8</v>
      </c>
      <c r="N8" s="50"/>
    </row>
    <row r="9" spans="1:14" x14ac:dyDescent="0.35">
      <c r="C9" s="48" t="s">
        <v>55</v>
      </c>
      <c r="D9" s="48">
        <v>81540</v>
      </c>
      <c r="E9" s="48" t="s">
        <v>56</v>
      </c>
      <c r="F9" s="57">
        <v>30000</v>
      </c>
      <c r="G9" s="58">
        <v>4.1849999999999996</v>
      </c>
      <c r="H9" s="59" t="s">
        <v>54</v>
      </c>
      <c r="J9" s="62">
        <f>F9*G9</f>
        <v>125549.99999999999</v>
      </c>
      <c r="K9" s="60"/>
      <c r="L9" s="62">
        <v>125550</v>
      </c>
      <c r="N9" s="50"/>
    </row>
    <row r="10" spans="1:14" x14ac:dyDescent="0.35">
      <c r="F10" s="57"/>
      <c r="G10" s="58"/>
      <c r="H10" s="59"/>
      <c r="J10" s="50">
        <f>SUM(J7:J9)</f>
        <v>997672.39999999991</v>
      </c>
      <c r="K10" s="63"/>
      <c r="L10" s="50">
        <f>SUM(L7:L9)</f>
        <v>997672.4</v>
      </c>
    </row>
    <row r="11" spans="1:14" x14ac:dyDescent="0.35">
      <c r="D11" s="48">
        <v>0</v>
      </c>
      <c r="F11" s="57"/>
      <c r="G11" s="58"/>
      <c r="H11" s="59"/>
      <c r="K11" s="63"/>
      <c r="L11" s="50"/>
    </row>
    <row r="12" spans="1:14" x14ac:dyDescent="0.35">
      <c r="D12" s="48">
        <v>0</v>
      </c>
      <c r="F12" s="64"/>
      <c r="G12" s="65" t="s">
        <v>57</v>
      </c>
      <c r="H12" s="59"/>
      <c r="K12" s="63"/>
      <c r="L12" s="50"/>
    </row>
    <row r="13" spans="1:14" x14ac:dyDescent="0.35">
      <c r="A13" t="s">
        <v>58</v>
      </c>
      <c r="B13" s="48" t="s">
        <v>59</v>
      </c>
      <c r="C13" s="48" t="s">
        <v>52</v>
      </c>
      <c r="D13" s="48">
        <v>352234</v>
      </c>
      <c r="E13" s="48" t="s">
        <v>53</v>
      </c>
      <c r="F13" s="57">
        <v>16000</v>
      </c>
      <c r="G13" s="58">
        <v>4.5805999999999996</v>
      </c>
      <c r="H13" s="59" t="s">
        <v>60</v>
      </c>
      <c r="J13" s="50">
        <f>F13*G13</f>
        <v>73289.599999999991</v>
      </c>
      <c r="K13" s="60"/>
      <c r="L13" s="66">
        <v>73289.600000000006</v>
      </c>
      <c r="N13" s="50"/>
    </row>
    <row r="14" spans="1:14" x14ac:dyDescent="0.35">
      <c r="C14" s="48" t="s">
        <v>55</v>
      </c>
      <c r="D14" s="48">
        <v>80160</v>
      </c>
      <c r="E14" s="48" t="s">
        <v>56</v>
      </c>
      <c r="F14" s="57">
        <v>190880</v>
      </c>
      <c r="G14" s="58">
        <v>4.1849999999999996</v>
      </c>
      <c r="H14" s="59" t="s">
        <v>60</v>
      </c>
      <c r="J14" s="50">
        <f>F14*G14</f>
        <v>798832.79999999993</v>
      </c>
      <c r="K14" s="60"/>
      <c r="L14" s="66">
        <v>798832.8</v>
      </c>
      <c r="N14" s="50"/>
    </row>
    <row r="15" spans="1:14" x14ac:dyDescent="0.35">
      <c r="C15" s="48" t="s">
        <v>55</v>
      </c>
      <c r="D15" s="48">
        <v>81540</v>
      </c>
      <c r="E15" s="48" t="s">
        <v>56</v>
      </c>
      <c r="F15" s="57">
        <v>30000</v>
      </c>
      <c r="G15" s="58">
        <v>4.1849999999999996</v>
      </c>
      <c r="H15" s="59" t="s">
        <v>60</v>
      </c>
      <c r="J15" s="50">
        <f>F15*G15</f>
        <v>125549.99999999999</v>
      </c>
      <c r="K15" s="60"/>
      <c r="L15" s="66">
        <v>125550</v>
      </c>
      <c r="N15" s="50"/>
    </row>
    <row r="16" spans="1:14" x14ac:dyDescent="0.35">
      <c r="F16" s="57"/>
      <c r="G16" s="58"/>
      <c r="H16" s="59"/>
      <c r="J16" s="67"/>
      <c r="L16" s="67"/>
    </row>
    <row r="17" spans="1:16" x14ac:dyDescent="0.35">
      <c r="H17" s="59"/>
      <c r="J17" s="50">
        <f>SUM(J13:J16)</f>
        <v>997672.39999999991</v>
      </c>
      <c r="L17" s="50">
        <f>SUM(L13:L16)</f>
        <v>997672.4</v>
      </c>
    </row>
    <row r="18" spans="1:16" x14ac:dyDescent="0.35">
      <c r="D18" s="48">
        <v>0</v>
      </c>
      <c r="H18" s="59"/>
      <c r="L18" s="50"/>
    </row>
    <row r="19" spans="1:16" x14ac:dyDescent="0.35">
      <c r="A19" s="72" t="s">
        <v>61</v>
      </c>
      <c r="C19" s="53" t="s">
        <v>62</v>
      </c>
      <c r="D19" s="53" t="s">
        <v>63</v>
      </c>
      <c r="F19" s="57">
        <v>0</v>
      </c>
      <c r="G19" s="58">
        <v>0</v>
      </c>
      <c r="H19" s="59"/>
      <c r="J19" s="67">
        <v>0</v>
      </c>
      <c r="L19" s="67">
        <v>0</v>
      </c>
    </row>
    <row r="20" spans="1:16" x14ac:dyDescent="0.35">
      <c r="A20" s="72" t="s">
        <v>61</v>
      </c>
      <c r="C20" s="53" t="s">
        <v>62</v>
      </c>
      <c r="D20" s="53" t="s">
        <v>63</v>
      </c>
      <c r="F20" s="57">
        <v>0</v>
      </c>
      <c r="G20" s="58">
        <v>0</v>
      </c>
      <c r="H20" s="59"/>
      <c r="J20" s="67">
        <v>0</v>
      </c>
      <c r="L20" s="67">
        <v>0</v>
      </c>
    </row>
    <row r="21" spans="1:16" x14ac:dyDescent="0.35">
      <c r="A21" s="72" t="s">
        <v>61</v>
      </c>
      <c r="C21" s="53" t="s">
        <v>62</v>
      </c>
      <c r="D21" s="53" t="s">
        <v>63</v>
      </c>
      <c r="F21" s="57">
        <v>0</v>
      </c>
      <c r="G21" s="58">
        <v>0</v>
      </c>
      <c r="H21" s="59"/>
      <c r="J21" s="67">
        <v>0</v>
      </c>
      <c r="L21" s="67">
        <v>0</v>
      </c>
    </row>
    <row r="22" spans="1:16" x14ac:dyDescent="0.35">
      <c r="A22" s="72" t="s">
        <v>61</v>
      </c>
      <c r="C22" s="53" t="s">
        <v>62</v>
      </c>
      <c r="D22" s="53" t="s">
        <v>63</v>
      </c>
      <c r="F22" s="57">
        <v>0</v>
      </c>
      <c r="G22" s="58">
        <v>0</v>
      </c>
      <c r="H22" s="59"/>
      <c r="J22" s="67">
        <v>0</v>
      </c>
      <c r="L22" s="67">
        <v>0</v>
      </c>
    </row>
    <row r="23" spans="1:16" x14ac:dyDescent="0.35">
      <c r="A23" s="72" t="s">
        <v>61</v>
      </c>
      <c r="C23" s="53" t="s">
        <v>62</v>
      </c>
      <c r="D23" s="53" t="s">
        <v>63</v>
      </c>
      <c r="F23" s="57">
        <v>0</v>
      </c>
      <c r="G23" s="58">
        <v>0</v>
      </c>
      <c r="H23" s="59"/>
      <c r="J23" s="67">
        <v>0</v>
      </c>
      <c r="L23" s="67">
        <v>0</v>
      </c>
    </row>
    <row r="24" spans="1:16" x14ac:dyDescent="0.35">
      <c r="A24" s="72" t="s">
        <v>61</v>
      </c>
      <c r="C24" s="53" t="s">
        <v>64</v>
      </c>
      <c r="D24" s="53" t="s">
        <v>65</v>
      </c>
      <c r="F24" s="57">
        <v>0</v>
      </c>
      <c r="G24" s="58">
        <v>0</v>
      </c>
      <c r="H24" s="59"/>
      <c r="J24" s="67">
        <v>0</v>
      </c>
      <c r="L24" s="67">
        <v>0</v>
      </c>
    </row>
    <row r="25" spans="1:16" x14ac:dyDescent="0.35">
      <c r="H25" s="59"/>
      <c r="L25" s="50"/>
    </row>
    <row r="26" spans="1:16" x14ac:dyDescent="0.35">
      <c r="H26" s="71" t="s">
        <v>66</v>
      </c>
      <c r="J26" s="73">
        <f>J10-J17+J19+J23+J22+J21+J24+J20</f>
        <v>0</v>
      </c>
      <c r="K26" s="74"/>
      <c r="L26" s="73">
        <f>L10-L17+L19+L23+L22+L21+L24+L20</f>
        <v>0</v>
      </c>
      <c r="N26" s="50"/>
      <c r="O26" s="50"/>
      <c r="P26" s="50"/>
    </row>
    <row r="29" spans="1:16" x14ac:dyDescent="0.35">
      <c r="A29" s="75"/>
    </row>
    <row r="30" spans="1:16" x14ac:dyDescent="0.35">
      <c r="A30" s="76"/>
    </row>
    <row r="32" spans="1:16" x14ac:dyDescent="0.35">
      <c r="B32" s="77" t="s">
        <v>67</v>
      </c>
      <c r="C32" s="77"/>
      <c r="D32" s="77"/>
      <c r="E32" s="77"/>
      <c r="F32" s="77"/>
      <c r="G32" s="78"/>
    </row>
    <row r="33" spans="1:7" x14ac:dyDescent="0.35">
      <c r="A33" s="72" t="s">
        <v>68</v>
      </c>
      <c r="B33" s="77"/>
      <c r="C33" s="77"/>
      <c r="D33" s="77"/>
      <c r="E33" s="77"/>
      <c r="F33" s="77"/>
      <c r="G33" s="78"/>
    </row>
    <row r="34" spans="1:7" x14ac:dyDescent="0.35">
      <c r="B34" s="77" t="s">
        <v>69</v>
      </c>
      <c r="C34" s="77"/>
      <c r="D34" s="77"/>
      <c r="E34" s="77"/>
      <c r="F34" s="77"/>
      <c r="G34" s="78"/>
    </row>
    <row r="35" spans="1:7" x14ac:dyDescent="0.35">
      <c r="A35" s="72" t="s">
        <v>70</v>
      </c>
      <c r="B35" s="77"/>
      <c r="C35" s="77"/>
      <c r="D35" s="77"/>
      <c r="E35" s="77"/>
      <c r="F35" s="77"/>
      <c r="G35" s="78"/>
    </row>
    <row r="36" spans="1:7" x14ac:dyDescent="0.35">
      <c r="A36" s="72"/>
      <c r="B36" s="77" t="s">
        <v>71</v>
      </c>
      <c r="C36" s="77"/>
      <c r="D36" s="77"/>
      <c r="E36" s="77"/>
      <c r="F36" s="77"/>
      <c r="G36" s="78"/>
    </row>
    <row r="37" spans="1:7" x14ac:dyDescent="0.35">
      <c r="A37" s="72" t="s">
        <v>72</v>
      </c>
    </row>
  </sheetData>
  <pageMargins left="0.17" right="0.17" top="0.66" bottom="0.55000000000000004" header="0.24" footer="0.33"/>
  <pageSetup scale="74" fitToHeight="0" orientation="portrait" r:id="rId1"/>
  <headerFooter>
    <oddHeader xml:space="preserve">&amp;RKY PSC CN 2020-00378  
 Staff's Data Request Set 1 No. 5 Attachment C  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2"/>
  <sheetViews>
    <sheetView view="pageLayout" zoomScaleNormal="100" workbookViewId="0">
      <selection activeCell="L3" sqref="L3"/>
    </sheetView>
  </sheetViews>
  <sheetFormatPr defaultColWidth="9.1796875" defaultRowHeight="12.5" x14ac:dyDescent="0.25"/>
  <cols>
    <col min="1" max="1" width="9.1796875" style="87" customWidth="1"/>
    <col min="2" max="2" width="10.1796875" style="81" customWidth="1"/>
    <col min="3" max="3" width="11.1796875" style="81" customWidth="1"/>
    <col min="4" max="4" width="9.26953125" style="81" customWidth="1"/>
    <col min="5" max="5" width="10.81640625" style="81" customWidth="1"/>
    <col min="6" max="6" width="13.26953125" style="81" customWidth="1"/>
    <col min="7" max="7" width="13" style="81" customWidth="1"/>
    <col min="8" max="8" width="10.1796875" style="81" customWidth="1"/>
    <col min="9" max="9" width="14.54296875" style="81" customWidth="1"/>
    <col min="10" max="13" width="10.1796875" style="81" customWidth="1"/>
    <col min="14" max="14" width="8.453125" style="81" hidden="1" customWidth="1"/>
    <col min="15" max="15" width="1.453125" style="82" customWidth="1"/>
    <col min="16" max="16" width="11" style="82" hidden="1" customWidth="1"/>
    <col min="17" max="17" width="11.453125" style="82" customWidth="1"/>
    <col min="18" max="16384" width="9.1796875" style="82"/>
  </cols>
  <sheetData>
    <row r="1" spans="1:16" ht="18" x14ac:dyDescent="0.4">
      <c r="A1" s="79" t="s">
        <v>73</v>
      </c>
      <c r="B1" s="80"/>
      <c r="C1" s="80"/>
      <c r="D1" s="80"/>
    </row>
    <row r="2" spans="1:16" ht="18" x14ac:dyDescent="0.4">
      <c r="A2" s="79"/>
      <c r="B2" s="80"/>
      <c r="C2" s="80"/>
      <c r="D2" s="80"/>
    </row>
    <row r="3" spans="1:16" ht="18" x14ac:dyDescent="0.4">
      <c r="A3" s="79" t="s">
        <v>74</v>
      </c>
      <c r="B3" s="83"/>
      <c r="C3" s="84">
        <f>'April 20 TCPS CALC'!C3</f>
        <v>43922</v>
      </c>
      <c r="E3" s="85"/>
      <c r="F3" s="85"/>
      <c r="G3" s="85"/>
      <c r="H3" s="85"/>
      <c r="I3" s="85"/>
      <c r="J3" s="85"/>
      <c r="K3" s="85"/>
      <c r="L3" s="85"/>
      <c r="M3" s="86"/>
    </row>
    <row r="5" spans="1:16" ht="13" thickBot="1" x14ac:dyDescent="0.3"/>
    <row r="6" spans="1:16" ht="13" x14ac:dyDescent="0.3">
      <c r="H6" s="206" t="s">
        <v>75</v>
      </c>
      <c r="I6" s="207"/>
      <c r="J6" s="207"/>
      <c r="K6" s="208" t="s">
        <v>76</v>
      </c>
      <c r="L6" s="209"/>
      <c r="M6" s="210"/>
      <c r="P6" s="81" t="s">
        <v>77</v>
      </c>
    </row>
    <row r="7" spans="1:16" ht="13" x14ac:dyDescent="0.3">
      <c r="A7" s="88" t="s">
        <v>78</v>
      </c>
      <c r="B7" s="211" t="s">
        <v>79</v>
      </c>
      <c r="C7" s="212"/>
      <c r="D7" s="213"/>
      <c r="E7" s="214" t="s">
        <v>80</v>
      </c>
      <c r="F7" s="215"/>
      <c r="G7" s="216"/>
      <c r="H7" s="212" t="s">
        <v>81</v>
      </c>
      <c r="I7" s="212"/>
      <c r="J7" s="212"/>
      <c r="K7" s="217" t="s">
        <v>82</v>
      </c>
      <c r="L7" s="218"/>
      <c r="M7" s="219"/>
      <c r="P7" s="81" t="s">
        <v>83</v>
      </c>
    </row>
    <row r="8" spans="1:16" ht="13" x14ac:dyDescent="0.3">
      <c r="A8" s="89" t="s">
        <v>84</v>
      </c>
      <c r="B8" s="90" t="s">
        <v>85</v>
      </c>
      <c r="C8" s="91" t="s">
        <v>86</v>
      </c>
      <c r="D8" s="92" t="s">
        <v>87</v>
      </c>
      <c r="E8" s="93" t="s">
        <v>85</v>
      </c>
      <c r="F8" s="94" t="s">
        <v>86</v>
      </c>
      <c r="G8" s="95" t="s">
        <v>87</v>
      </c>
      <c r="H8" s="91" t="s">
        <v>85</v>
      </c>
      <c r="I8" s="91" t="s">
        <v>86</v>
      </c>
      <c r="J8" s="91" t="s">
        <v>87</v>
      </c>
      <c r="K8" s="96" t="s">
        <v>85</v>
      </c>
      <c r="L8" s="97" t="s">
        <v>86</v>
      </c>
      <c r="M8" s="98" t="s">
        <v>87</v>
      </c>
      <c r="N8" s="99" t="s">
        <v>84</v>
      </c>
      <c r="P8" s="100" t="s">
        <v>88</v>
      </c>
    </row>
    <row r="9" spans="1:16" ht="13" x14ac:dyDescent="0.3">
      <c r="A9" s="101"/>
      <c r="B9" s="102"/>
      <c r="C9" s="103"/>
      <c r="D9" s="104"/>
      <c r="E9" s="105"/>
      <c r="F9" s="106"/>
      <c r="G9" s="107"/>
      <c r="H9" s="108"/>
      <c r="I9" s="108" t="s">
        <v>89</v>
      </c>
      <c r="J9" s="109"/>
      <c r="K9" s="110"/>
      <c r="L9" s="111"/>
      <c r="M9" s="112"/>
    </row>
    <row r="10" spans="1:16" ht="13" x14ac:dyDescent="0.3">
      <c r="A10" s="87">
        <f>C3</f>
        <v>43922</v>
      </c>
      <c r="B10" s="113">
        <v>1.34</v>
      </c>
      <c r="C10" s="114">
        <v>1.42</v>
      </c>
      <c r="D10" s="115">
        <v>1.57</v>
      </c>
      <c r="E10" s="116">
        <v>1.46</v>
      </c>
      <c r="F10" s="117">
        <v>1.54</v>
      </c>
      <c r="G10" s="118">
        <v>1.615</v>
      </c>
      <c r="H10" s="113">
        <v>1.37</v>
      </c>
      <c r="I10" s="114">
        <v>1.44</v>
      </c>
      <c r="J10" s="115">
        <v>1.43</v>
      </c>
      <c r="K10" s="119">
        <f t="shared" ref="K10:M37" si="0">AVERAGE(B10,E10,H10)</f>
        <v>1.39</v>
      </c>
      <c r="L10" s="120">
        <f t="shared" si="0"/>
        <v>1.4666666666666668</v>
      </c>
      <c r="M10" s="121">
        <f t="shared" si="0"/>
        <v>1.5383333333333333</v>
      </c>
      <c r="N10" s="87">
        <f t="shared" ref="N10:N39" si="1">A10</f>
        <v>43922</v>
      </c>
      <c r="P10" s="122">
        <f>H10-E10</f>
        <v>-8.9999999999999858E-2</v>
      </c>
    </row>
    <row r="11" spans="1:16" x14ac:dyDescent="0.25">
      <c r="A11" s="87">
        <f>A10+1</f>
        <v>43923</v>
      </c>
      <c r="B11" s="123">
        <f t="shared" ref="B11:B39" si="2">$B$10</f>
        <v>1.34</v>
      </c>
      <c r="C11" s="124">
        <f>$C$10</f>
        <v>1.42</v>
      </c>
      <c r="D11" s="125">
        <f>$D$10</f>
        <v>1.57</v>
      </c>
      <c r="E11" s="116">
        <v>1.44</v>
      </c>
      <c r="F11" s="117">
        <v>1.47</v>
      </c>
      <c r="G11" s="118">
        <v>1.5249999999999999</v>
      </c>
      <c r="H11" s="126">
        <f t="shared" ref="H11:J15" si="3">H10</f>
        <v>1.37</v>
      </c>
      <c r="I11" s="126">
        <f t="shared" si="3"/>
        <v>1.44</v>
      </c>
      <c r="J11" s="126">
        <f t="shared" si="3"/>
        <v>1.43</v>
      </c>
      <c r="K11" s="119">
        <f t="shared" si="0"/>
        <v>1.3833333333333335</v>
      </c>
      <c r="L11" s="120">
        <f t="shared" si="0"/>
        <v>1.4433333333333334</v>
      </c>
      <c r="M11" s="121">
        <f t="shared" si="0"/>
        <v>1.5083333333333331</v>
      </c>
      <c r="N11" s="127">
        <f t="shared" si="1"/>
        <v>43923</v>
      </c>
      <c r="P11" s="122">
        <f t="shared" ref="P11:P39" si="4">H11-E11</f>
        <v>-6.999999999999984E-2</v>
      </c>
    </row>
    <row r="12" spans="1:16" x14ac:dyDescent="0.25">
      <c r="A12" s="87">
        <f t="shared" ref="A12:A39" si="5">A11+1</f>
        <v>43924</v>
      </c>
      <c r="B12" s="123">
        <f t="shared" si="2"/>
        <v>1.34</v>
      </c>
      <c r="C12" s="124">
        <f t="shared" ref="C12:C39" si="6">$C$10</f>
        <v>1.42</v>
      </c>
      <c r="D12" s="125">
        <f t="shared" ref="D12:D39" si="7">$D$10</f>
        <v>1.57</v>
      </c>
      <c r="E12" s="116">
        <v>1.335</v>
      </c>
      <c r="F12" s="117">
        <v>1.4</v>
      </c>
      <c r="G12" s="118">
        <v>1.44</v>
      </c>
      <c r="H12" s="126">
        <f t="shared" si="3"/>
        <v>1.37</v>
      </c>
      <c r="I12" s="126">
        <f t="shared" si="3"/>
        <v>1.44</v>
      </c>
      <c r="J12" s="126">
        <f t="shared" si="3"/>
        <v>1.43</v>
      </c>
      <c r="K12" s="119">
        <f t="shared" si="0"/>
        <v>1.3483333333333334</v>
      </c>
      <c r="L12" s="120">
        <f t="shared" si="0"/>
        <v>1.42</v>
      </c>
      <c r="M12" s="121">
        <f t="shared" si="0"/>
        <v>1.4799999999999998</v>
      </c>
      <c r="N12" s="87">
        <f t="shared" si="1"/>
        <v>43924</v>
      </c>
      <c r="P12" s="122">
        <f t="shared" si="4"/>
        <v>3.5000000000000142E-2</v>
      </c>
    </row>
    <row r="13" spans="1:16" x14ac:dyDescent="0.25">
      <c r="A13" s="87">
        <f t="shared" si="5"/>
        <v>43925</v>
      </c>
      <c r="B13" s="123">
        <f t="shared" si="2"/>
        <v>1.34</v>
      </c>
      <c r="C13" s="124">
        <f t="shared" si="6"/>
        <v>1.42</v>
      </c>
      <c r="D13" s="125">
        <f t="shared" si="7"/>
        <v>1.57</v>
      </c>
      <c r="E13" s="116">
        <v>1.31</v>
      </c>
      <c r="F13" s="117">
        <v>1.37</v>
      </c>
      <c r="G13" s="118">
        <v>1.395</v>
      </c>
      <c r="H13" s="126">
        <f t="shared" si="3"/>
        <v>1.37</v>
      </c>
      <c r="I13" s="126">
        <f t="shared" si="3"/>
        <v>1.44</v>
      </c>
      <c r="J13" s="126">
        <f t="shared" si="3"/>
        <v>1.43</v>
      </c>
      <c r="K13" s="119">
        <f t="shared" si="0"/>
        <v>1.34</v>
      </c>
      <c r="L13" s="120">
        <f t="shared" si="0"/>
        <v>1.4100000000000001</v>
      </c>
      <c r="M13" s="121">
        <f t="shared" si="0"/>
        <v>1.4649999999999999</v>
      </c>
      <c r="N13" s="87">
        <f t="shared" si="1"/>
        <v>43925</v>
      </c>
      <c r="P13" s="122">
        <f t="shared" si="4"/>
        <v>6.0000000000000053E-2</v>
      </c>
    </row>
    <row r="14" spans="1:16" s="134" customFormat="1" x14ac:dyDescent="0.25">
      <c r="A14" s="129">
        <f t="shared" si="5"/>
        <v>43926</v>
      </c>
      <c r="B14" s="123">
        <f t="shared" si="2"/>
        <v>1.34</v>
      </c>
      <c r="C14" s="124">
        <f t="shared" si="6"/>
        <v>1.42</v>
      </c>
      <c r="D14" s="125">
        <f t="shared" si="7"/>
        <v>1.57</v>
      </c>
      <c r="E14" s="116">
        <v>1.31</v>
      </c>
      <c r="F14" s="117">
        <v>1.37</v>
      </c>
      <c r="G14" s="118">
        <v>1.395</v>
      </c>
      <c r="H14" s="126">
        <f t="shared" si="3"/>
        <v>1.37</v>
      </c>
      <c r="I14" s="126">
        <f t="shared" si="3"/>
        <v>1.44</v>
      </c>
      <c r="J14" s="126">
        <f t="shared" si="3"/>
        <v>1.43</v>
      </c>
      <c r="K14" s="130">
        <f t="shared" si="0"/>
        <v>1.34</v>
      </c>
      <c r="L14" s="131">
        <f t="shared" si="0"/>
        <v>1.4100000000000001</v>
      </c>
      <c r="M14" s="132">
        <f t="shared" si="0"/>
        <v>1.4649999999999999</v>
      </c>
      <c r="N14" s="133">
        <f t="shared" si="1"/>
        <v>43926</v>
      </c>
      <c r="P14" s="135">
        <f t="shared" si="4"/>
        <v>6.0000000000000053E-2</v>
      </c>
    </row>
    <row r="15" spans="1:16" s="134" customFormat="1" x14ac:dyDescent="0.25">
      <c r="A15" s="129">
        <f t="shared" si="5"/>
        <v>43927</v>
      </c>
      <c r="B15" s="123">
        <f t="shared" si="2"/>
        <v>1.34</v>
      </c>
      <c r="C15" s="124">
        <f t="shared" si="6"/>
        <v>1.42</v>
      </c>
      <c r="D15" s="125">
        <f t="shared" si="7"/>
        <v>1.57</v>
      </c>
      <c r="E15" s="116">
        <v>1.31</v>
      </c>
      <c r="F15" s="117">
        <v>1.37</v>
      </c>
      <c r="G15" s="118">
        <v>1.395</v>
      </c>
      <c r="H15" s="126">
        <f t="shared" si="3"/>
        <v>1.37</v>
      </c>
      <c r="I15" s="126">
        <f t="shared" si="3"/>
        <v>1.44</v>
      </c>
      <c r="J15" s="126">
        <f t="shared" si="3"/>
        <v>1.43</v>
      </c>
      <c r="K15" s="130">
        <f t="shared" si="0"/>
        <v>1.34</v>
      </c>
      <c r="L15" s="131">
        <f t="shared" si="0"/>
        <v>1.4100000000000001</v>
      </c>
      <c r="M15" s="132">
        <f t="shared" si="0"/>
        <v>1.4649999999999999</v>
      </c>
      <c r="N15" s="133">
        <f t="shared" si="1"/>
        <v>43927</v>
      </c>
      <c r="P15" s="122">
        <f t="shared" si="4"/>
        <v>6.0000000000000053E-2</v>
      </c>
    </row>
    <row r="16" spans="1:16" s="134" customFormat="1" ht="13" x14ac:dyDescent="0.3">
      <c r="A16" s="129">
        <f t="shared" si="5"/>
        <v>43928</v>
      </c>
      <c r="B16" s="123">
        <f t="shared" si="2"/>
        <v>1.34</v>
      </c>
      <c r="C16" s="124">
        <f t="shared" si="6"/>
        <v>1.42</v>
      </c>
      <c r="D16" s="125">
        <f t="shared" si="7"/>
        <v>1.57</v>
      </c>
      <c r="E16" s="116">
        <v>1.47</v>
      </c>
      <c r="F16" s="117">
        <v>1.55</v>
      </c>
      <c r="G16" s="118">
        <v>1.61</v>
      </c>
      <c r="H16" s="128">
        <v>1.56</v>
      </c>
      <c r="I16" s="128">
        <v>1.62</v>
      </c>
      <c r="J16" s="128">
        <v>1.68</v>
      </c>
      <c r="K16" s="130">
        <f t="shared" si="0"/>
        <v>1.4566666666666668</v>
      </c>
      <c r="L16" s="131">
        <f t="shared" si="0"/>
        <v>1.53</v>
      </c>
      <c r="M16" s="132">
        <f t="shared" si="0"/>
        <v>1.62</v>
      </c>
      <c r="N16" s="136">
        <f t="shared" si="1"/>
        <v>43928</v>
      </c>
      <c r="P16" s="122">
        <f t="shared" si="4"/>
        <v>9.000000000000008E-2</v>
      </c>
    </row>
    <row r="17" spans="1:16" s="134" customFormat="1" x14ac:dyDescent="0.25">
      <c r="A17" s="129">
        <f t="shared" si="5"/>
        <v>43929</v>
      </c>
      <c r="B17" s="123">
        <f t="shared" si="2"/>
        <v>1.34</v>
      </c>
      <c r="C17" s="124">
        <f t="shared" si="6"/>
        <v>1.42</v>
      </c>
      <c r="D17" s="125">
        <f t="shared" si="7"/>
        <v>1.57</v>
      </c>
      <c r="E17" s="116">
        <v>1.59</v>
      </c>
      <c r="F17" s="117">
        <v>1.68</v>
      </c>
      <c r="G17" s="118">
        <v>1.7350000000000001</v>
      </c>
      <c r="H17" s="126">
        <f t="shared" ref="H17:J22" si="8">H16</f>
        <v>1.56</v>
      </c>
      <c r="I17" s="126">
        <f t="shared" si="8"/>
        <v>1.62</v>
      </c>
      <c r="J17" s="126">
        <f t="shared" si="8"/>
        <v>1.68</v>
      </c>
      <c r="K17" s="130">
        <f t="shared" si="0"/>
        <v>1.4966666666666668</v>
      </c>
      <c r="L17" s="131">
        <f t="shared" si="0"/>
        <v>1.5733333333333333</v>
      </c>
      <c r="M17" s="132">
        <f t="shared" si="0"/>
        <v>1.6616666666666668</v>
      </c>
      <c r="N17" s="133">
        <f t="shared" si="1"/>
        <v>43929</v>
      </c>
      <c r="P17" s="122">
        <f t="shared" si="4"/>
        <v>-3.0000000000000027E-2</v>
      </c>
    </row>
    <row r="18" spans="1:16" s="134" customFormat="1" x14ac:dyDescent="0.25">
      <c r="A18" s="129">
        <f t="shared" si="5"/>
        <v>43930</v>
      </c>
      <c r="B18" s="123">
        <f t="shared" si="2"/>
        <v>1.34</v>
      </c>
      <c r="C18" s="124">
        <f t="shared" si="6"/>
        <v>1.42</v>
      </c>
      <c r="D18" s="125">
        <f t="shared" si="7"/>
        <v>1.57</v>
      </c>
      <c r="E18" s="116">
        <v>1.65</v>
      </c>
      <c r="F18" s="117">
        <v>1.7050000000000001</v>
      </c>
      <c r="G18" s="118">
        <v>1.76</v>
      </c>
      <c r="H18" s="126">
        <f t="shared" si="8"/>
        <v>1.56</v>
      </c>
      <c r="I18" s="126">
        <f t="shared" si="8"/>
        <v>1.62</v>
      </c>
      <c r="J18" s="126">
        <f t="shared" si="8"/>
        <v>1.68</v>
      </c>
      <c r="K18" s="130">
        <f t="shared" si="0"/>
        <v>1.5166666666666668</v>
      </c>
      <c r="L18" s="131">
        <f t="shared" si="0"/>
        <v>1.5816666666666668</v>
      </c>
      <c r="M18" s="132">
        <f t="shared" si="0"/>
        <v>1.67</v>
      </c>
      <c r="N18" s="133">
        <f t="shared" si="1"/>
        <v>43930</v>
      </c>
      <c r="P18" s="122">
        <f t="shared" si="4"/>
        <v>-8.9999999999999858E-2</v>
      </c>
    </row>
    <row r="19" spans="1:16" s="134" customFormat="1" ht="12" customHeight="1" x14ac:dyDescent="0.25">
      <c r="A19" s="129">
        <f t="shared" si="5"/>
        <v>43931</v>
      </c>
      <c r="B19" s="123">
        <f t="shared" si="2"/>
        <v>1.34</v>
      </c>
      <c r="C19" s="124">
        <f t="shared" si="6"/>
        <v>1.42</v>
      </c>
      <c r="D19" s="125">
        <f t="shared" si="7"/>
        <v>1.57</v>
      </c>
      <c r="E19" s="116">
        <v>1.55</v>
      </c>
      <c r="F19" s="117">
        <v>1.615</v>
      </c>
      <c r="G19" s="118">
        <v>1.66</v>
      </c>
      <c r="H19" s="126">
        <f t="shared" si="8"/>
        <v>1.56</v>
      </c>
      <c r="I19" s="126">
        <f t="shared" si="8"/>
        <v>1.62</v>
      </c>
      <c r="J19" s="126">
        <f t="shared" si="8"/>
        <v>1.68</v>
      </c>
      <c r="K19" s="130">
        <f t="shared" si="0"/>
        <v>1.4833333333333334</v>
      </c>
      <c r="L19" s="131">
        <f t="shared" si="0"/>
        <v>1.5516666666666667</v>
      </c>
      <c r="M19" s="132">
        <f t="shared" si="0"/>
        <v>1.6366666666666667</v>
      </c>
      <c r="N19" s="133">
        <f t="shared" si="1"/>
        <v>43931</v>
      </c>
      <c r="P19" s="122">
        <f t="shared" si="4"/>
        <v>1.0000000000000009E-2</v>
      </c>
    </row>
    <row r="20" spans="1:16" s="134" customFormat="1" x14ac:dyDescent="0.25">
      <c r="A20" s="129">
        <f t="shared" si="5"/>
        <v>43932</v>
      </c>
      <c r="B20" s="123">
        <f t="shared" si="2"/>
        <v>1.34</v>
      </c>
      <c r="C20" s="124">
        <f t="shared" si="6"/>
        <v>1.42</v>
      </c>
      <c r="D20" s="125">
        <f t="shared" si="7"/>
        <v>1.57</v>
      </c>
      <c r="E20" s="116">
        <v>1.55</v>
      </c>
      <c r="F20" s="117">
        <v>1.615</v>
      </c>
      <c r="G20" s="118">
        <v>1.66</v>
      </c>
      <c r="H20" s="126">
        <f t="shared" si="8"/>
        <v>1.56</v>
      </c>
      <c r="I20" s="126">
        <f t="shared" si="8"/>
        <v>1.62</v>
      </c>
      <c r="J20" s="126">
        <f t="shared" si="8"/>
        <v>1.68</v>
      </c>
      <c r="K20" s="130">
        <f t="shared" si="0"/>
        <v>1.4833333333333334</v>
      </c>
      <c r="L20" s="131">
        <f t="shared" si="0"/>
        <v>1.5516666666666667</v>
      </c>
      <c r="M20" s="132">
        <f t="shared" si="0"/>
        <v>1.6366666666666667</v>
      </c>
      <c r="N20" s="133">
        <f t="shared" si="1"/>
        <v>43932</v>
      </c>
      <c r="P20" s="135">
        <f>H20-E20</f>
        <v>1.0000000000000009E-2</v>
      </c>
    </row>
    <row r="21" spans="1:16" s="134" customFormat="1" x14ac:dyDescent="0.25">
      <c r="A21" s="129">
        <f t="shared" si="5"/>
        <v>43933</v>
      </c>
      <c r="B21" s="123">
        <f t="shared" si="2"/>
        <v>1.34</v>
      </c>
      <c r="C21" s="124">
        <f t="shared" si="6"/>
        <v>1.42</v>
      </c>
      <c r="D21" s="125">
        <f t="shared" si="7"/>
        <v>1.57</v>
      </c>
      <c r="E21" s="116">
        <v>1.55</v>
      </c>
      <c r="F21" s="117">
        <v>1.615</v>
      </c>
      <c r="G21" s="118">
        <v>1.66</v>
      </c>
      <c r="H21" s="126">
        <f t="shared" si="8"/>
        <v>1.56</v>
      </c>
      <c r="I21" s="126">
        <f t="shared" si="8"/>
        <v>1.62</v>
      </c>
      <c r="J21" s="126">
        <f t="shared" si="8"/>
        <v>1.68</v>
      </c>
      <c r="K21" s="130">
        <f t="shared" si="0"/>
        <v>1.4833333333333334</v>
      </c>
      <c r="L21" s="131">
        <f t="shared" si="0"/>
        <v>1.5516666666666667</v>
      </c>
      <c r="M21" s="132">
        <f t="shared" si="0"/>
        <v>1.6366666666666667</v>
      </c>
      <c r="N21" s="133">
        <f t="shared" si="1"/>
        <v>43933</v>
      </c>
      <c r="P21" s="135">
        <f t="shared" si="4"/>
        <v>1.0000000000000009E-2</v>
      </c>
    </row>
    <row r="22" spans="1:16" s="134" customFormat="1" x14ac:dyDescent="0.25">
      <c r="A22" s="129">
        <f t="shared" si="5"/>
        <v>43934</v>
      </c>
      <c r="B22" s="123">
        <f t="shared" si="2"/>
        <v>1.34</v>
      </c>
      <c r="C22" s="124">
        <f t="shared" si="6"/>
        <v>1.42</v>
      </c>
      <c r="D22" s="125">
        <f t="shared" si="7"/>
        <v>1.57</v>
      </c>
      <c r="E22" s="116">
        <v>1.55</v>
      </c>
      <c r="F22" s="117">
        <v>1.615</v>
      </c>
      <c r="G22" s="118">
        <v>1.66</v>
      </c>
      <c r="H22" s="126">
        <f t="shared" si="8"/>
        <v>1.56</v>
      </c>
      <c r="I22" s="126">
        <f t="shared" si="8"/>
        <v>1.62</v>
      </c>
      <c r="J22" s="126">
        <f t="shared" si="8"/>
        <v>1.68</v>
      </c>
      <c r="K22" s="130">
        <f t="shared" si="0"/>
        <v>1.4833333333333334</v>
      </c>
      <c r="L22" s="131">
        <f t="shared" si="0"/>
        <v>1.5516666666666667</v>
      </c>
      <c r="M22" s="132">
        <f t="shared" si="0"/>
        <v>1.6366666666666667</v>
      </c>
      <c r="N22" s="133">
        <f t="shared" si="1"/>
        <v>43934</v>
      </c>
      <c r="P22" s="122">
        <f t="shared" si="4"/>
        <v>1.0000000000000009E-2</v>
      </c>
    </row>
    <row r="23" spans="1:16" s="134" customFormat="1" ht="13" x14ac:dyDescent="0.3">
      <c r="A23" s="129">
        <f t="shared" si="5"/>
        <v>43935</v>
      </c>
      <c r="B23" s="123">
        <f t="shared" si="2"/>
        <v>1.34</v>
      </c>
      <c r="C23" s="124">
        <f t="shared" si="6"/>
        <v>1.42</v>
      </c>
      <c r="D23" s="125">
        <f t="shared" si="7"/>
        <v>1.57</v>
      </c>
      <c r="E23" s="116">
        <v>1.62</v>
      </c>
      <c r="F23" s="117">
        <v>1.67</v>
      </c>
      <c r="G23" s="118">
        <v>1.7350000000000001</v>
      </c>
      <c r="H23" s="128">
        <v>1.53</v>
      </c>
      <c r="I23" s="128">
        <v>1.58</v>
      </c>
      <c r="J23" s="128">
        <v>1.64</v>
      </c>
      <c r="K23" s="130">
        <f t="shared" si="0"/>
        <v>1.4966666666666668</v>
      </c>
      <c r="L23" s="131">
        <f t="shared" si="0"/>
        <v>1.5566666666666666</v>
      </c>
      <c r="M23" s="132">
        <f t="shared" si="0"/>
        <v>1.6483333333333334</v>
      </c>
      <c r="N23" s="136">
        <f t="shared" si="1"/>
        <v>43935</v>
      </c>
      <c r="P23" s="122">
        <f t="shared" si="4"/>
        <v>-9.000000000000008E-2</v>
      </c>
    </row>
    <row r="24" spans="1:16" s="134" customFormat="1" x14ac:dyDescent="0.25">
      <c r="A24" s="129">
        <f t="shared" si="5"/>
        <v>43936</v>
      </c>
      <c r="B24" s="123">
        <f t="shared" si="2"/>
        <v>1.34</v>
      </c>
      <c r="C24" s="124">
        <f t="shared" si="6"/>
        <v>1.42</v>
      </c>
      <c r="D24" s="125">
        <f t="shared" si="7"/>
        <v>1.57</v>
      </c>
      <c r="E24" s="116">
        <v>1.55</v>
      </c>
      <c r="F24" s="117">
        <v>1.58</v>
      </c>
      <c r="G24" s="118">
        <v>1.615</v>
      </c>
      <c r="H24" s="126">
        <f t="shared" ref="H24:J29" si="9">H23</f>
        <v>1.53</v>
      </c>
      <c r="I24" s="126">
        <f t="shared" si="9"/>
        <v>1.58</v>
      </c>
      <c r="J24" s="126">
        <f t="shared" si="9"/>
        <v>1.64</v>
      </c>
      <c r="K24" s="130">
        <f>AVERAGE(B24,E24,H24)</f>
        <v>1.4733333333333334</v>
      </c>
      <c r="L24" s="131">
        <f t="shared" si="0"/>
        <v>1.5266666666666666</v>
      </c>
      <c r="M24" s="132">
        <f t="shared" si="0"/>
        <v>1.6083333333333334</v>
      </c>
      <c r="N24" s="133">
        <f t="shared" si="1"/>
        <v>43936</v>
      </c>
      <c r="P24" s="122">
        <f t="shared" si="4"/>
        <v>-2.0000000000000018E-2</v>
      </c>
    </row>
    <row r="25" spans="1:16" s="134" customFormat="1" x14ac:dyDescent="0.25">
      <c r="A25" s="129">
        <f t="shared" si="5"/>
        <v>43937</v>
      </c>
      <c r="B25" s="123">
        <f t="shared" si="2"/>
        <v>1.34</v>
      </c>
      <c r="C25" s="124">
        <f t="shared" si="6"/>
        <v>1.42</v>
      </c>
      <c r="D25" s="125">
        <f t="shared" si="7"/>
        <v>1.57</v>
      </c>
      <c r="E25" s="116">
        <v>1.4850000000000001</v>
      </c>
      <c r="F25" s="117">
        <v>1.52</v>
      </c>
      <c r="G25" s="118">
        <v>1.5649999999999999</v>
      </c>
      <c r="H25" s="126">
        <f t="shared" si="9"/>
        <v>1.53</v>
      </c>
      <c r="I25" s="126">
        <f t="shared" si="9"/>
        <v>1.58</v>
      </c>
      <c r="J25" s="126">
        <f t="shared" si="9"/>
        <v>1.64</v>
      </c>
      <c r="K25" s="130">
        <f t="shared" si="0"/>
        <v>1.4516666666666669</v>
      </c>
      <c r="L25" s="131">
        <f t="shared" si="0"/>
        <v>1.5066666666666666</v>
      </c>
      <c r="M25" s="132">
        <f t="shared" si="0"/>
        <v>1.5916666666666666</v>
      </c>
      <c r="N25" s="133">
        <f t="shared" si="1"/>
        <v>43937</v>
      </c>
      <c r="P25" s="135">
        <f t="shared" si="4"/>
        <v>4.4999999999999929E-2</v>
      </c>
    </row>
    <row r="26" spans="1:16" s="134" customFormat="1" x14ac:dyDescent="0.25">
      <c r="A26" s="129">
        <f t="shared" si="5"/>
        <v>43938</v>
      </c>
      <c r="B26" s="123">
        <f t="shared" si="2"/>
        <v>1.34</v>
      </c>
      <c r="C26" s="124">
        <f t="shared" si="6"/>
        <v>1.42</v>
      </c>
      <c r="D26" s="125">
        <f t="shared" si="7"/>
        <v>1.57</v>
      </c>
      <c r="E26" s="116">
        <v>1.42</v>
      </c>
      <c r="F26" s="117">
        <v>1.46</v>
      </c>
      <c r="G26" s="118">
        <v>1.4950000000000001</v>
      </c>
      <c r="H26" s="126">
        <f t="shared" si="9"/>
        <v>1.53</v>
      </c>
      <c r="I26" s="126">
        <f t="shared" si="9"/>
        <v>1.58</v>
      </c>
      <c r="J26" s="126">
        <f t="shared" si="9"/>
        <v>1.64</v>
      </c>
      <c r="K26" s="130">
        <f t="shared" si="0"/>
        <v>1.43</v>
      </c>
      <c r="L26" s="131">
        <f t="shared" si="0"/>
        <v>1.4866666666666666</v>
      </c>
      <c r="M26" s="132">
        <f t="shared" si="0"/>
        <v>1.5683333333333334</v>
      </c>
      <c r="N26" s="133">
        <f t="shared" si="1"/>
        <v>43938</v>
      </c>
      <c r="P26" s="122">
        <f t="shared" si="4"/>
        <v>0.1100000000000001</v>
      </c>
    </row>
    <row r="27" spans="1:16" s="134" customFormat="1" x14ac:dyDescent="0.25">
      <c r="A27" s="129">
        <f t="shared" si="5"/>
        <v>43939</v>
      </c>
      <c r="B27" s="123">
        <f t="shared" si="2"/>
        <v>1.34</v>
      </c>
      <c r="C27" s="124">
        <f t="shared" si="6"/>
        <v>1.42</v>
      </c>
      <c r="D27" s="125">
        <f t="shared" si="7"/>
        <v>1.57</v>
      </c>
      <c r="E27" s="116">
        <v>1.585</v>
      </c>
      <c r="F27" s="117">
        <v>1.62</v>
      </c>
      <c r="G27" s="118">
        <v>1.68</v>
      </c>
      <c r="H27" s="126">
        <f t="shared" si="9"/>
        <v>1.53</v>
      </c>
      <c r="I27" s="126">
        <f t="shared" si="9"/>
        <v>1.58</v>
      </c>
      <c r="J27" s="126">
        <f t="shared" si="9"/>
        <v>1.64</v>
      </c>
      <c r="K27" s="130">
        <f t="shared" si="0"/>
        <v>1.4850000000000001</v>
      </c>
      <c r="L27" s="131">
        <f t="shared" si="0"/>
        <v>1.54</v>
      </c>
      <c r="M27" s="132">
        <f t="shared" si="0"/>
        <v>1.63</v>
      </c>
      <c r="N27" s="133">
        <f t="shared" si="1"/>
        <v>43939</v>
      </c>
      <c r="P27" s="135">
        <f t="shared" si="4"/>
        <v>-5.4999999999999938E-2</v>
      </c>
    </row>
    <row r="28" spans="1:16" s="134" customFormat="1" x14ac:dyDescent="0.25">
      <c r="A28" s="129">
        <f t="shared" si="5"/>
        <v>43940</v>
      </c>
      <c r="B28" s="123">
        <f t="shared" si="2"/>
        <v>1.34</v>
      </c>
      <c r="C28" s="124">
        <f t="shared" si="6"/>
        <v>1.42</v>
      </c>
      <c r="D28" s="125">
        <f t="shared" si="7"/>
        <v>1.57</v>
      </c>
      <c r="E28" s="116">
        <v>1.585</v>
      </c>
      <c r="F28" s="117">
        <v>1.62</v>
      </c>
      <c r="G28" s="118">
        <v>1.68</v>
      </c>
      <c r="H28" s="126">
        <f t="shared" si="9"/>
        <v>1.53</v>
      </c>
      <c r="I28" s="126">
        <f t="shared" si="9"/>
        <v>1.58</v>
      </c>
      <c r="J28" s="126">
        <f t="shared" si="9"/>
        <v>1.64</v>
      </c>
      <c r="K28" s="130">
        <f t="shared" si="0"/>
        <v>1.4850000000000001</v>
      </c>
      <c r="L28" s="131">
        <f t="shared" si="0"/>
        <v>1.54</v>
      </c>
      <c r="M28" s="132">
        <f t="shared" si="0"/>
        <v>1.63</v>
      </c>
      <c r="N28" s="133">
        <f t="shared" si="1"/>
        <v>43940</v>
      </c>
      <c r="P28" s="135">
        <f t="shared" si="4"/>
        <v>-5.4999999999999938E-2</v>
      </c>
    </row>
    <row r="29" spans="1:16" s="134" customFormat="1" x14ac:dyDescent="0.25">
      <c r="A29" s="129">
        <f t="shared" si="5"/>
        <v>43941</v>
      </c>
      <c r="B29" s="123">
        <f t="shared" si="2"/>
        <v>1.34</v>
      </c>
      <c r="C29" s="124">
        <f t="shared" si="6"/>
        <v>1.42</v>
      </c>
      <c r="D29" s="125">
        <f t="shared" si="7"/>
        <v>1.57</v>
      </c>
      <c r="E29" s="116">
        <v>1.585</v>
      </c>
      <c r="F29" s="117">
        <v>1.62</v>
      </c>
      <c r="G29" s="118">
        <v>1.68</v>
      </c>
      <c r="H29" s="126">
        <f t="shared" si="9"/>
        <v>1.53</v>
      </c>
      <c r="I29" s="126">
        <f t="shared" si="9"/>
        <v>1.58</v>
      </c>
      <c r="J29" s="126">
        <f t="shared" si="9"/>
        <v>1.64</v>
      </c>
      <c r="K29" s="130">
        <f t="shared" si="0"/>
        <v>1.4850000000000001</v>
      </c>
      <c r="L29" s="131">
        <f t="shared" si="0"/>
        <v>1.54</v>
      </c>
      <c r="M29" s="132">
        <f t="shared" si="0"/>
        <v>1.63</v>
      </c>
      <c r="N29" s="133">
        <f t="shared" si="1"/>
        <v>43941</v>
      </c>
      <c r="P29" s="122">
        <f t="shared" si="4"/>
        <v>-5.4999999999999938E-2</v>
      </c>
    </row>
    <row r="30" spans="1:16" s="134" customFormat="1" ht="13" x14ac:dyDescent="0.3">
      <c r="A30" s="129">
        <f t="shared" si="5"/>
        <v>43942</v>
      </c>
      <c r="B30" s="123">
        <f t="shared" si="2"/>
        <v>1.34</v>
      </c>
      <c r="C30" s="124">
        <f t="shared" si="6"/>
        <v>1.42</v>
      </c>
      <c r="D30" s="125">
        <f t="shared" si="7"/>
        <v>1.57</v>
      </c>
      <c r="E30" s="116">
        <v>1.62</v>
      </c>
      <c r="F30" s="117">
        <v>1.65</v>
      </c>
      <c r="G30" s="118">
        <v>1.7</v>
      </c>
      <c r="H30" s="128">
        <v>1.68</v>
      </c>
      <c r="I30" s="128">
        <v>1.7</v>
      </c>
      <c r="J30" s="128">
        <v>1.74</v>
      </c>
      <c r="K30" s="130">
        <f t="shared" si="0"/>
        <v>1.5466666666666666</v>
      </c>
      <c r="L30" s="131">
        <f t="shared" si="0"/>
        <v>1.5899999999999999</v>
      </c>
      <c r="M30" s="132">
        <f t="shared" si="0"/>
        <v>1.67</v>
      </c>
      <c r="N30" s="136">
        <f t="shared" si="1"/>
        <v>43942</v>
      </c>
      <c r="P30" s="122">
        <f t="shared" si="4"/>
        <v>5.9999999999999831E-2</v>
      </c>
    </row>
    <row r="31" spans="1:16" s="134" customFormat="1" x14ac:dyDescent="0.25">
      <c r="A31" s="129">
        <f t="shared" si="5"/>
        <v>43943</v>
      </c>
      <c r="B31" s="123">
        <f t="shared" si="2"/>
        <v>1.34</v>
      </c>
      <c r="C31" s="124">
        <f t="shared" si="6"/>
        <v>1.42</v>
      </c>
      <c r="D31" s="125">
        <f t="shared" si="7"/>
        <v>1.57</v>
      </c>
      <c r="E31" s="116">
        <v>1.74</v>
      </c>
      <c r="F31" s="117">
        <v>1.7649999999999999</v>
      </c>
      <c r="G31" s="118">
        <v>1.825</v>
      </c>
      <c r="H31" s="126">
        <f t="shared" ref="H31:J36" si="10">H30</f>
        <v>1.68</v>
      </c>
      <c r="I31" s="126">
        <f t="shared" si="10"/>
        <v>1.7</v>
      </c>
      <c r="J31" s="126">
        <f t="shared" si="10"/>
        <v>1.74</v>
      </c>
      <c r="K31" s="130">
        <f t="shared" si="0"/>
        <v>1.5866666666666667</v>
      </c>
      <c r="L31" s="131">
        <f t="shared" si="0"/>
        <v>1.6283333333333332</v>
      </c>
      <c r="M31" s="132">
        <f t="shared" si="0"/>
        <v>1.7116666666666667</v>
      </c>
      <c r="N31" s="133">
        <f t="shared" si="1"/>
        <v>43943</v>
      </c>
      <c r="P31" s="122">
        <f t="shared" si="4"/>
        <v>-6.0000000000000053E-2</v>
      </c>
    </row>
    <row r="32" spans="1:16" s="134" customFormat="1" x14ac:dyDescent="0.25">
      <c r="A32" s="129">
        <f t="shared" si="5"/>
        <v>43944</v>
      </c>
      <c r="B32" s="123">
        <f t="shared" si="2"/>
        <v>1.34</v>
      </c>
      <c r="C32" s="124">
        <f t="shared" si="6"/>
        <v>1.42</v>
      </c>
      <c r="D32" s="125">
        <f t="shared" si="7"/>
        <v>1.57</v>
      </c>
      <c r="E32" s="116">
        <v>1.74</v>
      </c>
      <c r="F32" s="117">
        <v>1.76</v>
      </c>
      <c r="G32" s="118">
        <v>1.825</v>
      </c>
      <c r="H32" s="126">
        <f t="shared" si="10"/>
        <v>1.68</v>
      </c>
      <c r="I32" s="126">
        <f t="shared" si="10"/>
        <v>1.7</v>
      </c>
      <c r="J32" s="126">
        <f t="shared" si="10"/>
        <v>1.74</v>
      </c>
      <c r="K32" s="130">
        <f t="shared" si="0"/>
        <v>1.5866666666666667</v>
      </c>
      <c r="L32" s="131">
        <f t="shared" si="0"/>
        <v>1.6266666666666667</v>
      </c>
      <c r="M32" s="132">
        <f t="shared" si="0"/>
        <v>1.7116666666666667</v>
      </c>
      <c r="N32" s="133">
        <f t="shared" si="1"/>
        <v>43944</v>
      </c>
      <c r="P32" s="122">
        <f t="shared" si="4"/>
        <v>-6.0000000000000053E-2</v>
      </c>
    </row>
    <row r="33" spans="1:16" s="134" customFormat="1" x14ac:dyDescent="0.25">
      <c r="A33" s="129">
        <f t="shared" si="5"/>
        <v>43945</v>
      </c>
      <c r="B33" s="123">
        <f t="shared" si="2"/>
        <v>1.34</v>
      </c>
      <c r="C33" s="124">
        <f t="shared" si="6"/>
        <v>1.42</v>
      </c>
      <c r="D33" s="125">
        <f t="shared" si="7"/>
        <v>1.57</v>
      </c>
      <c r="E33" s="116">
        <v>1.74</v>
      </c>
      <c r="F33" s="117">
        <v>1.7649999999999999</v>
      </c>
      <c r="G33" s="118">
        <v>1.825</v>
      </c>
      <c r="H33" s="126">
        <f t="shared" si="10"/>
        <v>1.68</v>
      </c>
      <c r="I33" s="126">
        <f t="shared" si="10"/>
        <v>1.7</v>
      </c>
      <c r="J33" s="126">
        <f t="shared" si="10"/>
        <v>1.74</v>
      </c>
      <c r="K33" s="130">
        <f t="shared" si="0"/>
        <v>1.5866666666666667</v>
      </c>
      <c r="L33" s="131">
        <f t="shared" si="0"/>
        <v>1.6283333333333332</v>
      </c>
      <c r="M33" s="132">
        <f t="shared" si="0"/>
        <v>1.7116666666666667</v>
      </c>
      <c r="N33" s="133">
        <f t="shared" si="1"/>
        <v>43945</v>
      </c>
      <c r="P33" s="122">
        <f t="shared" si="4"/>
        <v>-6.0000000000000053E-2</v>
      </c>
    </row>
    <row r="34" spans="1:16" s="134" customFormat="1" x14ac:dyDescent="0.25">
      <c r="A34" s="129">
        <f t="shared" si="5"/>
        <v>43946</v>
      </c>
      <c r="B34" s="123">
        <f t="shared" si="2"/>
        <v>1.34</v>
      </c>
      <c r="C34" s="124">
        <f t="shared" si="6"/>
        <v>1.42</v>
      </c>
      <c r="D34" s="125">
        <f t="shared" si="7"/>
        <v>1.57</v>
      </c>
      <c r="E34" s="116">
        <v>1.645</v>
      </c>
      <c r="F34" s="117">
        <v>1.6850000000000001</v>
      </c>
      <c r="G34" s="118">
        <v>1.7150000000000001</v>
      </c>
      <c r="H34" s="126">
        <f t="shared" si="10"/>
        <v>1.68</v>
      </c>
      <c r="I34" s="126">
        <f t="shared" si="10"/>
        <v>1.7</v>
      </c>
      <c r="J34" s="126">
        <f t="shared" si="10"/>
        <v>1.74</v>
      </c>
      <c r="K34" s="130">
        <f t="shared" si="0"/>
        <v>1.5549999999999999</v>
      </c>
      <c r="L34" s="131">
        <f t="shared" si="0"/>
        <v>1.6016666666666666</v>
      </c>
      <c r="M34" s="132">
        <f t="shared" si="0"/>
        <v>1.675</v>
      </c>
      <c r="N34" s="133">
        <f t="shared" si="1"/>
        <v>43946</v>
      </c>
      <c r="P34" s="135">
        <f t="shared" si="4"/>
        <v>3.499999999999992E-2</v>
      </c>
    </row>
    <row r="35" spans="1:16" s="134" customFormat="1" x14ac:dyDescent="0.25">
      <c r="A35" s="129">
        <f t="shared" si="5"/>
        <v>43947</v>
      </c>
      <c r="B35" s="123">
        <f t="shared" si="2"/>
        <v>1.34</v>
      </c>
      <c r="C35" s="124">
        <f t="shared" si="6"/>
        <v>1.42</v>
      </c>
      <c r="D35" s="125">
        <f t="shared" si="7"/>
        <v>1.57</v>
      </c>
      <c r="E35" s="116">
        <v>1.645</v>
      </c>
      <c r="F35" s="117">
        <v>1.6850000000000001</v>
      </c>
      <c r="G35" s="118">
        <v>1.7150000000000001</v>
      </c>
      <c r="H35" s="126">
        <f t="shared" si="10"/>
        <v>1.68</v>
      </c>
      <c r="I35" s="126">
        <f t="shared" si="10"/>
        <v>1.7</v>
      </c>
      <c r="J35" s="126">
        <f t="shared" si="10"/>
        <v>1.74</v>
      </c>
      <c r="K35" s="130">
        <f t="shared" si="0"/>
        <v>1.5549999999999999</v>
      </c>
      <c r="L35" s="131">
        <f t="shared" si="0"/>
        <v>1.6016666666666666</v>
      </c>
      <c r="M35" s="132">
        <f t="shared" si="0"/>
        <v>1.675</v>
      </c>
      <c r="N35" s="133">
        <f t="shared" si="1"/>
        <v>43947</v>
      </c>
      <c r="P35" s="135">
        <f t="shared" si="4"/>
        <v>3.499999999999992E-2</v>
      </c>
    </row>
    <row r="36" spans="1:16" x14ac:dyDescent="0.25">
      <c r="A36" s="87">
        <f t="shared" si="5"/>
        <v>43948</v>
      </c>
      <c r="B36" s="123">
        <f t="shared" si="2"/>
        <v>1.34</v>
      </c>
      <c r="C36" s="124">
        <f t="shared" si="6"/>
        <v>1.42</v>
      </c>
      <c r="D36" s="125">
        <f t="shared" si="7"/>
        <v>1.57</v>
      </c>
      <c r="E36" s="116">
        <v>1.645</v>
      </c>
      <c r="F36" s="117">
        <v>1.6850000000000001</v>
      </c>
      <c r="G36" s="118">
        <v>1.7150000000000001</v>
      </c>
      <c r="H36" s="126">
        <f t="shared" si="10"/>
        <v>1.68</v>
      </c>
      <c r="I36" s="126">
        <f t="shared" si="10"/>
        <v>1.7</v>
      </c>
      <c r="J36" s="126">
        <f t="shared" si="10"/>
        <v>1.74</v>
      </c>
      <c r="K36" s="130">
        <f t="shared" si="0"/>
        <v>1.5549999999999999</v>
      </c>
      <c r="L36" s="120">
        <f t="shared" si="0"/>
        <v>1.6016666666666666</v>
      </c>
      <c r="M36" s="121">
        <f t="shared" si="0"/>
        <v>1.675</v>
      </c>
      <c r="N36" s="133">
        <f t="shared" si="1"/>
        <v>43948</v>
      </c>
      <c r="P36" s="122">
        <f>H36-E36</f>
        <v>3.499999999999992E-2</v>
      </c>
    </row>
    <row r="37" spans="1:16" ht="13" x14ac:dyDescent="0.3">
      <c r="A37" s="87">
        <f t="shared" si="5"/>
        <v>43949</v>
      </c>
      <c r="B37" s="123">
        <f t="shared" si="2"/>
        <v>1.34</v>
      </c>
      <c r="C37" s="124">
        <f t="shared" si="6"/>
        <v>1.42</v>
      </c>
      <c r="D37" s="125">
        <f t="shared" si="7"/>
        <v>1.57</v>
      </c>
      <c r="E37" s="116">
        <v>1.595</v>
      </c>
      <c r="F37" s="117">
        <v>1.5649999999999999</v>
      </c>
      <c r="G37" s="118">
        <v>1.595</v>
      </c>
      <c r="H37" s="128">
        <v>1.48</v>
      </c>
      <c r="I37" s="128">
        <v>1.54</v>
      </c>
      <c r="J37" s="128">
        <v>1.66</v>
      </c>
      <c r="K37" s="130">
        <f t="shared" si="0"/>
        <v>1.4716666666666667</v>
      </c>
      <c r="L37" s="120">
        <f t="shared" si="0"/>
        <v>1.5083333333333335</v>
      </c>
      <c r="M37" s="121">
        <f t="shared" si="0"/>
        <v>1.6083333333333334</v>
      </c>
      <c r="N37" s="136">
        <f t="shared" si="1"/>
        <v>43949</v>
      </c>
      <c r="P37" s="122">
        <f t="shared" si="4"/>
        <v>-0.11499999999999999</v>
      </c>
    </row>
    <row r="38" spans="1:16" s="134" customFormat="1" x14ac:dyDescent="0.25">
      <c r="A38" s="129">
        <f t="shared" si="5"/>
        <v>43950</v>
      </c>
      <c r="B38" s="123">
        <f t="shared" si="2"/>
        <v>1.34</v>
      </c>
      <c r="C38" s="124">
        <f t="shared" si="6"/>
        <v>1.42</v>
      </c>
      <c r="D38" s="125">
        <f t="shared" si="7"/>
        <v>1.57</v>
      </c>
      <c r="E38" s="116">
        <v>1.66</v>
      </c>
      <c r="F38" s="117">
        <v>1.7</v>
      </c>
      <c r="G38" s="118">
        <v>1.7649999999999999</v>
      </c>
      <c r="H38" s="126">
        <f t="shared" ref="H38:J39" si="11">H37</f>
        <v>1.48</v>
      </c>
      <c r="I38" s="126">
        <f t="shared" si="11"/>
        <v>1.54</v>
      </c>
      <c r="J38" s="126">
        <f t="shared" si="11"/>
        <v>1.66</v>
      </c>
      <c r="K38" s="130">
        <f t="shared" ref="K38:M39" si="12">AVERAGE(B38,E38,H38)</f>
        <v>1.4933333333333334</v>
      </c>
      <c r="L38" s="131">
        <f t="shared" si="12"/>
        <v>1.5533333333333335</v>
      </c>
      <c r="M38" s="132">
        <f t="shared" si="12"/>
        <v>1.665</v>
      </c>
      <c r="N38" s="133">
        <f t="shared" si="1"/>
        <v>43950</v>
      </c>
      <c r="P38" s="135">
        <f t="shared" si="4"/>
        <v>-0.17999999999999994</v>
      </c>
    </row>
    <row r="39" spans="1:16" ht="13" x14ac:dyDescent="0.3">
      <c r="A39" s="87">
        <f t="shared" si="5"/>
        <v>43951</v>
      </c>
      <c r="B39" s="123">
        <f t="shared" si="2"/>
        <v>1.34</v>
      </c>
      <c r="C39" s="124">
        <f t="shared" si="6"/>
        <v>1.42</v>
      </c>
      <c r="D39" s="125">
        <f t="shared" si="7"/>
        <v>1.57</v>
      </c>
      <c r="E39" s="116">
        <v>1.59</v>
      </c>
      <c r="F39" s="117">
        <v>1.65</v>
      </c>
      <c r="G39" s="118">
        <v>1.675</v>
      </c>
      <c r="H39" s="126">
        <f t="shared" si="11"/>
        <v>1.48</v>
      </c>
      <c r="I39" s="126">
        <f t="shared" si="11"/>
        <v>1.54</v>
      </c>
      <c r="J39" s="126">
        <f t="shared" si="11"/>
        <v>1.66</v>
      </c>
      <c r="K39" s="130">
        <f t="shared" si="12"/>
        <v>1.47</v>
      </c>
      <c r="L39" s="120">
        <f t="shared" si="12"/>
        <v>1.5366666666666664</v>
      </c>
      <c r="M39" s="121">
        <f t="shared" si="12"/>
        <v>1.635</v>
      </c>
      <c r="N39" s="136">
        <f t="shared" si="1"/>
        <v>43951</v>
      </c>
      <c r="P39" s="122">
        <f t="shared" si="4"/>
        <v>-0.1100000000000001</v>
      </c>
    </row>
    <row r="40" spans="1:16" s="134" customFormat="1" ht="13" x14ac:dyDescent="0.3">
      <c r="A40" s="129"/>
      <c r="B40" s="123"/>
      <c r="C40" s="124"/>
      <c r="D40" s="125"/>
      <c r="E40" s="116"/>
      <c r="F40" s="117"/>
      <c r="G40" s="118"/>
      <c r="H40" s="175"/>
      <c r="I40" s="175"/>
      <c r="J40" s="175"/>
      <c r="K40" s="130"/>
      <c r="L40" s="131"/>
      <c r="M40" s="132"/>
      <c r="N40" s="133"/>
      <c r="P40" s="135"/>
    </row>
    <row r="41" spans="1:16" x14ac:dyDescent="0.25">
      <c r="B41" s="123"/>
      <c r="C41" s="124"/>
      <c r="D41" s="125"/>
      <c r="E41" s="137"/>
      <c r="F41" s="138"/>
      <c r="G41" s="139"/>
      <c r="H41" s="137"/>
      <c r="I41" s="138"/>
      <c r="J41" s="139"/>
      <c r="K41" s="119"/>
      <c r="L41" s="120"/>
      <c r="M41" s="121"/>
    </row>
    <row r="42" spans="1:16" s="134" customFormat="1" ht="13" x14ac:dyDescent="0.3">
      <c r="A42" s="140" t="s">
        <v>90</v>
      </c>
      <c r="B42" s="141">
        <f t="shared" ref="B42:M42" si="13">AVERAGE(B10:B39)</f>
        <v>1.3400000000000007</v>
      </c>
      <c r="C42" s="141">
        <f t="shared" si="13"/>
        <v>1.420000000000001</v>
      </c>
      <c r="D42" s="141">
        <f t="shared" si="13"/>
        <v>1.57</v>
      </c>
      <c r="E42" s="141">
        <f t="shared" si="13"/>
        <v>1.550833333333334</v>
      </c>
      <c r="F42" s="141">
        <f t="shared" si="13"/>
        <v>1.5971666666666666</v>
      </c>
      <c r="G42" s="141">
        <f t="shared" si="13"/>
        <v>1.6438333333333337</v>
      </c>
      <c r="H42" s="141">
        <f t="shared" si="13"/>
        <v>1.5349999999999999</v>
      </c>
      <c r="I42" s="141">
        <f t="shared" si="13"/>
        <v>1.5853333333333337</v>
      </c>
      <c r="J42" s="141">
        <f t="shared" si="13"/>
        <v>1.6326666666666667</v>
      </c>
      <c r="K42" s="141">
        <f t="shared" si="13"/>
        <v>1.4752777777777777</v>
      </c>
      <c r="L42" s="141">
        <f t="shared" si="13"/>
        <v>1.5341666666666667</v>
      </c>
      <c r="M42" s="141">
        <f t="shared" si="13"/>
        <v>1.6154999999999995</v>
      </c>
      <c r="N42" s="142"/>
    </row>
    <row r="43" spans="1:16" x14ac:dyDescent="0.25">
      <c r="B43" s="143"/>
      <c r="C43" s="143"/>
      <c r="D43" s="143"/>
      <c r="E43" s="143"/>
      <c r="F43" s="143"/>
      <c r="G43" s="143"/>
      <c r="H43" s="143"/>
      <c r="I43" s="143"/>
      <c r="J43" s="143"/>
      <c r="K43" s="144"/>
      <c r="L43" s="145"/>
    </row>
    <row r="44" spans="1:16" x14ac:dyDescent="0.25">
      <c r="B44" s="143"/>
      <c r="C44" s="143"/>
      <c r="D44" s="143"/>
      <c r="E44" s="143"/>
      <c r="F44" s="143"/>
      <c r="G44" s="176"/>
      <c r="H44" s="177"/>
      <c r="I44" s="176"/>
      <c r="J44" s="143"/>
      <c r="K44" s="144"/>
      <c r="L44" s="145"/>
    </row>
    <row r="45" spans="1:16" x14ac:dyDescent="0.25">
      <c r="B45" s="143"/>
      <c r="C45" s="143"/>
      <c r="D45" s="143"/>
      <c r="E45" s="143"/>
      <c r="F45" s="143"/>
      <c r="G45" s="143"/>
      <c r="H45" s="143"/>
      <c r="I45" s="143"/>
      <c r="J45" s="143"/>
      <c r="K45" s="144"/>
      <c r="L45" s="145"/>
    </row>
    <row r="46" spans="1:16" x14ac:dyDescent="0.25">
      <c r="B46" s="143"/>
      <c r="C46" s="143"/>
      <c r="D46" s="143"/>
      <c r="E46" s="143"/>
      <c r="F46" s="143"/>
      <c r="G46" s="143"/>
      <c r="H46" s="143"/>
      <c r="I46" s="143"/>
      <c r="J46" s="143"/>
      <c r="K46" s="144"/>
      <c r="L46" s="145"/>
    </row>
    <row r="47" spans="1:16" x14ac:dyDescent="0.25">
      <c r="B47" s="143"/>
      <c r="C47" s="143"/>
      <c r="D47" s="143"/>
      <c r="E47" s="143"/>
      <c r="F47" s="143"/>
      <c r="G47" s="143"/>
      <c r="H47" s="143"/>
      <c r="I47" s="143"/>
      <c r="J47" s="143"/>
      <c r="K47" s="144"/>
      <c r="L47" s="145"/>
    </row>
    <row r="48" spans="1:16" ht="13" x14ac:dyDescent="0.3">
      <c r="A48" s="147" t="s">
        <v>91</v>
      </c>
      <c r="B48" s="148"/>
      <c r="C48" s="148"/>
      <c r="D48" s="148"/>
      <c r="E48" s="148"/>
      <c r="F48" s="148"/>
      <c r="G48" s="148"/>
      <c r="H48" s="148"/>
      <c r="I48" s="148"/>
      <c r="J48" s="149"/>
      <c r="K48" s="144"/>
      <c r="L48" s="145"/>
    </row>
    <row r="49" spans="1:17" x14ac:dyDescent="0.25">
      <c r="A49" s="150"/>
      <c r="B49" s="120"/>
      <c r="C49" s="120"/>
      <c r="D49" s="120"/>
      <c r="E49" s="120"/>
      <c r="F49" s="120"/>
      <c r="G49" s="120"/>
      <c r="H49" s="120"/>
      <c r="I49" s="120"/>
      <c r="J49" s="151"/>
      <c r="K49" s="144"/>
      <c r="L49" s="145"/>
    </row>
    <row r="50" spans="1:17" ht="14" x14ac:dyDescent="0.3">
      <c r="A50" s="152"/>
      <c r="B50" s="153"/>
      <c r="C50" s="153"/>
      <c r="D50" s="153"/>
      <c r="E50" s="154" t="s">
        <v>92</v>
      </c>
      <c r="F50" s="154" t="s">
        <v>92</v>
      </c>
      <c r="G50" s="154" t="s">
        <v>93</v>
      </c>
      <c r="H50" s="153"/>
      <c r="I50" s="153"/>
      <c r="J50" s="155"/>
      <c r="L50" s="145"/>
      <c r="M50" s="156"/>
    </row>
    <row r="51" spans="1:17" ht="15" customHeight="1" x14ac:dyDescent="0.3">
      <c r="A51" s="152"/>
      <c r="B51" s="157" t="s">
        <v>42</v>
      </c>
      <c r="C51" s="157" t="s">
        <v>94</v>
      </c>
      <c r="D51" s="153"/>
      <c r="E51" s="157" t="s">
        <v>95</v>
      </c>
      <c r="F51" s="157" t="s">
        <v>96</v>
      </c>
      <c r="G51" s="157" t="s">
        <v>96</v>
      </c>
      <c r="H51" s="205" t="s">
        <v>97</v>
      </c>
      <c r="I51" s="205"/>
      <c r="J51" s="155"/>
      <c r="K51" s="158"/>
      <c r="L51" s="159"/>
      <c r="M51" s="156"/>
    </row>
    <row r="52" spans="1:17" ht="15" customHeight="1" x14ac:dyDescent="0.3">
      <c r="A52" s="152"/>
      <c r="B52" s="153" t="s">
        <v>55</v>
      </c>
      <c r="C52" s="153" t="s">
        <v>98</v>
      </c>
      <c r="D52" s="153"/>
      <c r="E52" s="160">
        <f>312500+70000+35000+10000+34900+14200</f>
        <v>476600</v>
      </c>
      <c r="F52" s="161">
        <f>417968.75+88900+48650+12000+53920.5+20945</f>
        <v>642384.25</v>
      </c>
      <c r="G52" s="162">
        <f>E52*$K$42</f>
        <v>703117.38888888888</v>
      </c>
      <c r="H52" s="153"/>
      <c r="I52" s="163">
        <f>G52-F52</f>
        <v>60733.138888888876</v>
      </c>
      <c r="J52" s="155"/>
      <c r="L52" s="145"/>
      <c r="M52" s="156"/>
    </row>
    <row r="53" spans="1:17" ht="14" x14ac:dyDescent="0.3">
      <c r="A53" s="152"/>
      <c r="B53" s="153" t="s">
        <v>62</v>
      </c>
      <c r="C53" s="153" t="s">
        <v>99</v>
      </c>
      <c r="D53" s="153"/>
      <c r="E53" s="160">
        <v>0</v>
      </c>
      <c r="F53" s="161">
        <v>0</v>
      </c>
      <c r="G53" s="162">
        <f>E53*$L$42</f>
        <v>0</v>
      </c>
      <c r="H53" s="153"/>
      <c r="I53" s="163">
        <f t="shared" ref="I53:I54" si="14">G53-F53</f>
        <v>0</v>
      </c>
      <c r="J53" s="155"/>
      <c r="L53" s="145"/>
      <c r="M53" s="156"/>
    </row>
    <row r="54" spans="1:17" s="81" customFormat="1" ht="14" x14ac:dyDescent="0.3">
      <c r="A54" s="152"/>
      <c r="B54" s="153" t="s">
        <v>100</v>
      </c>
      <c r="C54" s="153">
        <v>500</v>
      </c>
      <c r="D54" s="153"/>
      <c r="E54" s="160">
        <f>91500+4600+4381+18400+4600+9200+5100</f>
        <v>137781</v>
      </c>
      <c r="F54" s="161">
        <f>149599.75+7417.5+6297.69+30498+7417.5+16767+8191.75</f>
        <v>226189.19</v>
      </c>
      <c r="G54" s="162">
        <f>E54*$M$42</f>
        <v>222585.20549999992</v>
      </c>
      <c r="H54" s="153"/>
      <c r="I54" s="163">
        <f t="shared" si="14"/>
        <v>-3603.9845000000787</v>
      </c>
      <c r="J54" s="155"/>
      <c r="L54" s="145"/>
      <c r="M54" s="156"/>
      <c r="O54" s="82"/>
      <c r="P54" s="82"/>
      <c r="Q54" s="82"/>
    </row>
    <row r="55" spans="1:17" s="81" customFormat="1" ht="14.5" thickBot="1" x14ac:dyDescent="0.35">
      <c r="A55" s="152"/>
      <c r="B55" s="153"/>
      <c r="C55" s="153"/>
      <c r="D55" s="153"/>
      <c r="E55" s="160"/>
      <c r="F55" s="161"/>
      <c r="G55" s="153"/>
      <c r="H55" s="153"/>
      <c r="I55" s="153"/>
      <c r="J55" s="155"/>
      <c r="L55" s="145"/>
      <c r="M55" s="156"/>
      <c r="O55" s="82"/>
      <c r="P55" s="82"/>
      <c r="Q55" s="82"/>
    </row>
    <row r="56" spans="1:17" s="81" customFormat="1" ht="14.5" thickBot="1" x14ac:dyDescent="0.35">
      <c r="A56" s="152"/>
      <c r="B56" s="153"/>
      <c r="C56" s="153"/>
      <c r="D56" s="153"/>
      <c r="E56" s="160"/>
      <c r="F56" s="161"/>
      <c r="G56" s="153"/>
      <c r="H56" s="164"/>
      <c r="I56" s="165">
        <f>SUM(I52:I55)</f>
        <v>57129.154388888797</v>
      </c>
      <c r="J56" s="155"/>
      <c r="L56" s="145"/>
      <c r="M56" s="156"/>
      <c r="O56" s="82"/>
      <c r="P56" s="82"/>
      <c r="Q56" s="82"/>
    </row>
    <row r="57" spans="1:17" s="81" customFormat="1" ht="14" x14ac:dyDescent="0.3">
      <c r="A57" s="166"/>
      <c r="B57" s="167"/>
      <c r="C57" s="167"/>
      <c r="D57" s="167"/>
      <c r="E57" s="168"/>
      <c r="F57" s="167"/>
      <c r="G57" s="167"/>
      <c r="H57" s="167"/>
      <c r="I57" s="167"/>
      <c r="J57" s="169"/>
      <c r="L57" s="145"/>
      <c r="M57" s="156"/>
      <c r="O57" s="82"/>
      <c r="P57" s="82"/>
      <c r="Q57" s="82"/>
    </row>
    <row r="58" spans="1:17" s="81" customFormat="1" ht="14" x14ac:dyDescent="0.3">
      <c r="A58" s="87"/>
      <c r="L58" s="145"/>
      <c r="M58" s="156"/>
      <c r="O58" s="82"/>
      <c r="P58" s="82"/>
      <c r="Q58" s="82"/>
    </row>
    <row r="59" spans="1:17" s="81" customFormat="1" ht="14" x14ac:dyDescent="0.3">
      <c r="A59" s="170"/>
      <c r="L59" s="145"/>
      <c r="M59" s="156"/>
      <c r="O59" s="82"/>
      <c r="P59" s="82"/>
      <c r="Q59" s="82"/>
    </row>
    <row r="60" spans="1:17" s="81" customFormat="1" ht="14" x14ac:dyDescent="0.3">
      <c r="A60" s="87"/>
      <c r="L60" s="145"/>
      <c r="M60" s="156"/>
      <c r="O60" s="82"/>
      <c r="P60" s="82"/>
      <c r="Q60" s="82"/>
    </row>
    <row r="61" spans="1:17" s="81" customFormat="1" x14ac:dyDescent="0.25">
      <c r="A61" s="87"/>
      <c r="B61" s="143"/>
      <c r="C61" s="143"/>
      <c r="D61" s="143"/>
      <c r="E61" s="143"/>
      <c r="F61" s="143"/>
      <c r="G61" s="143"/>
      <c r="H61" s="143"/>
      <c r="I61" s="143"/>
      <c r="J61" s="143"/>
      <c r="K61" s="144"/>
      <c r="L61" s="145"/>
      <c r="O61" s="82"/>
      <c r="P61" s="82"/>
      <c r="Q61" s="82"/>
    </row>
    <row r="62" spans="1:17" s="81" customFormat="1" ht="13" x14ac:dyDescent="0.3">
      <c r="A62" s="147" t="s">
        <v>101</v>
      </c>
      <c r="B62" s="148"/>
      <c r="C62" s="148"/>
      <c r="D62" s="148"/>
      <c r="E62" s="148"/>
      <c r="F62" s="148"/>
      <c r="G62" s="148"/>
      <c r="H62" s="148"/>
      <c r="I62" s="148"/>
      <c r="J62" s="149"/>
      <c r="K62" s="144"/>
      <c r="L62" s="145"/>
      <c r="O62" s="82"/>
      <c r="P62" s="82"/>
      <c r="Q62" s="82"/>
    </row>
    <row r="63" spans="1:17" s="81" customFormat="1" x14ac:dyDescent="0.25">
      <c r="A63" s="150"/>
      <c r="B63" s="120"/>
      <c r="C63" s="120"/>
      <c r="D63" s="120"/>
      <c r="E63" s="120"/>
      <c r="F63" s="120"/>
      <c r="G63" s="120"/>
      <c r="H63" s="120"/>
      <c r="I63" s="120"/>
      <c r="J63" s="151"/>
      <c r="K63" s="144"/>
      <c r="L63" s="145"/>
      <c r="O63" s="82"/>
      <c r="P63" s="82"/>
      <c r="Q63" s="82"/>
    </row>
    <row r="64" spans="1:17" s="81" customFormat="1" ht="13" x14ac:dyDescent="0.3">
      <c r="A64" s="152"/>
      <c r="B64" s="153"/>
      <c r="C64" s="153"/>
      <c r="D64" s="153"/>
      <c r="E64" s="154" t="s">
        <v>92</v>
      </c>
      <c r="F64" s="154" t="s">
        <v>92</v>
      </c>
      <c r="G64" s="154" t="s">
        <v>93</v>
      </c>
      <c r="H64" s="153"/>
      <c r="I64" s="153"/>
      <c r="J64" s="155"/>
      <c r="L64" s="145"/>
      <c r="M64" s="171"/>
      <c r="O64" s="82"/>
      <c r="P64" s="82"/>
      <c r="Q64" s="82"/>
    </row>
    <row r="65" spans="1:17" s="81" customFormat="1" ht="13" x14ac:dyDescent="0.3">
      <c r="A65" s="152"/>
      <c r="B65" s="157" t="s">
        <v>42</v>
      </c>
      <c r="C65" s="157" t="s">
        <v>94</v>
      </c>
      <c r="D65" s="153"/>
      <c r="E65" s="157" t="s">
        <v>95</v>
      </c>
      <c r="F65" s="157" t="s">
        <v>96</v>
      </c>
      <c r="G65" s="157" t="s">
        <v>96</v>
      </c>
      <c r="H65" s="205" t="s">
        <v>97</v>
      </c>
      <c r="I65" s="205"/>
      <c r="J65" s="155"/>
      <c r="L65" s="145"/>
      <c r="O65" s="82"/>
      <c r="P65" s="82"/>
      <c r="Q65" s="82"/>
    </row>
    <row r="66" spans="1:17" x14ac:dyDescent="0.25">
      <c r="A66" s="152"/>
      <c r="B66" s="153" t="s">
        <v>55</v>
      </c>
      <c r="C66" s="153" t="s">
        <v>98</v>
      </c>
      <c r="D66" s="153"/>
      <c r="E66" s="160">
        <f>614381-9200-4600-5100-91500-4600-4381-18400</f>
        <v>476600</v>
      </c>
      <c r="F66" s="161">
        <f>868573.44-7417.5-16767-8191.75-149599.75-7417.5-6297.69-30498</f>
        <v>642384.25</v>
      </c>
      <c r="G66" s="162">
        <f>E66*$K$42</f>
        <v>703117.38888888888</v>
      </c>
      <c r="H66" s="153"/>
      <c r="I66" s="163">
        <f>G66-F66</f>
        <v>60733.138888888876</v>
      </c>
      <c r="J66" s="155"/>
    </row>
    <row r="67" spans="1:17" s="81" customFormat="1" x14ac:dyDescent="0.25">
      <c r="A67" s="152"/>
      <c r="B67" s="153" t="s">
        <v>62</v>
      </c>
      <c r="C67" s="153" t="s">
        <v>99</v>
      </c>
      <c r="D67" s="153"/>
      <c r="E67" s="160">
        <v>0</v>
      </c>
      <c r="F67" s="161">
        <v>0</v>
      </c>
      <c r="G67" s="162">
        <f>E67*$L$42</f>
        <v>0</v>
      </c>
      <c r="H67" s="153"/>
      <c r="I67" s="163">
        <f t="shared" ref="I67:I68" si="15">G67-F67</f>
        <v>0</v>
      </c>
      <c r="J67" s="155"/>
      <c r="K67" s="144"/>
      <c r="L67" s="145"/>
      <c r="O67" s="82"/>
      <c r="P67" s="82"/>
      <c r="Q67" s="82"/>
    </row>
    <row r="68" spans="1:17" s="81" customFormat="1" x14ac:dyDescent="0.25">
      <c r="A68" s="152"/>
      <c r="B68" s="153" t="s">
        <v>100</v>
      </c>
      <c r="C68" s="153">
        <v>500</v>
      </c>
      <c r="D68" s="153"/>
      <c r="E68" s="160">
        <f>91500+4600+4381+18400+4600+9200+5100</f>
        <v>137781</v>
      </c>
      <c r="F68" s="161">
        <f>8191.75+16767+7417.5+149599.75+7417.5+6297.69+30498</f>
        <v>226189.19</v>
      </c>
      <c r="G68" s="162">
        <f>E68*$M$42</f>
        <v>222585.20549999992</v>
      </c>
      <c r="H68" s="153"/>
      <c r="I68" s="163">
        <f t="shared" si="15"/>
        <v>-3603.9845000000787</v>
      </c>
      <c r="J68" s="155"/>
      <c r="K68" s="144"/>
      <c r="L68" s="145"/>
      <c r="O68" s="82"/>
      <c r="P68" s="82"/>
      <c r="Q68" s="82"/>
    </row>
    <row r="69" spans="1:17" s="81" customFormat="1" ht="13" thickBot="1" x14ac:dyDescent="0.3">
      <c r="A69" s="152"/>
      <c r="B69" s="153"/>
      <c r="C69" s="153"/>
      <c r="D69" s="153"/>
      <c r="E69" s="160"/>
      <c r="F69" s="161"/>
      <c r="G69" s="153"/>
      <c r="H69" s="153"/>
      <c r="I69" s="153"/>
      <c r="J69" s="155"/>
      <c r="K69" s="144"/>
      <c r="L69" s="145"/>
      <c r="O69" s="82"/>
      <c r="P69" s="82"/>
      <c r="Q69" s="82"/>
    </row>
    <row r="70" spans="1:17" s="81" customFormat="1" ht="13" thickBot="1" x14ac:dyDescent="0.3">
      <c r="A70" s="152"/>
      <c r="B70" s="153"/>
      <c r="C70" s="153"/>
      <c r="D70" s="153"/>
      <c r="E70" s="160"/>
      <c r="F70" s="161"/>
      <c r="G70" s="153"/>
      <c r="H70" s="164"/>
      <c r="I70" s="165">
        <f>SUM(I66:I69)</f>
        <v>57129.154388888797</v>
      </c>
      <c r="J70" s="155"/>
      <c r="L70" s="145"/>
      <c r="M70" s="171"/>
      <c r="O70" s="82"/>
      <c r="P70" s="82"/>
      <c r="Q70" s="82"/>
    </row>
    <row r="71" spans="1:17" s="81" customFormat="1" x14ac:dyDescent="0.25">
      <c r="A71" s="166"/>
      <c r="B71" s="167"/>
      <c r="C71" s="167"/>
      <c r="D71" s="167"/>
      <c r="E71" s="168"/>
      <c r="F71" s="167"/>
      <c r="G71" s="167"/>
      <c r="H71" s="167"/>
      <c r="I71" s="167"/>
      <c r="J71" s="169"/>
      <c r="L71" s="145"/>
      <c r="O71" s="82"/>
      <c r="P71" s="82"/>
      <c r="Q71" s="82"/>
    </row>
    <row r="72" spans="1:17" s="81" customFormat="1" x14ac:dyDescent="0.25">
      <c r="A72" s="87"/>
      <c r="L72" s="145"/>
      <c r="O72" s="82"/>
      <c r="P72" s="82"/>
      <c r="Q72" s="82"/>
    </row>
    <row r="73" spans="1:17" ht="13" x14ac:dyDescent="0.3">
      <c r="A73" s="170"/>
    </row>
    <row r="74" spans="1:17" s="81" customFormat="1" x14ac:dyDescent="0.25">
      <c r="A74" s="87"/>
      <c r="L74" s="145"/>
      <c r="M74" s="171"/>
      <c r="O74" s="82"/>
      <c r="P74" s="82"/>
      <c r="Q74" s="82"/>
    </row>
    <row r="75" spans="1:17" s="81" customFormat="1" x14ac:dyDescent="0.25">
      <c r="A75" s="87"/>
      <c r="B75" s="143"/>
      <c r="C75" s="143"/>
      <c r="D75" s="143"/>
      <c r="E75" s="143"/>
      <c r="F75" s="143"/>
      <c r="G75" s="143"/>
      <c r="H75" s="143"/>
      <c r="I75" s="143"/>
      <c r="J75" s="143"/>
      <c r="K75" s="144"/>
      <c r="L75" s="145"/>
      <c r="O75" s="82"/>
      <c r="P75" s="82"/>
      <c r="Q75" s="82"/>
    </row>
    <row r="76" spans="1:17" s="81" customFormat="1" x14ac:dyDescent="0.25">
      <c r="A76" s="87"/>
      <c r="B76" s="143"/>
      <c r="C76" s="143"/>
      <c r="D76" s="143"/>
      <c r="E76" s="143"/>
      <c r="F76" s="143"/>
      <c r="G76" s="143"/>
      <c r="H76" s="143"/>
      <c r="I76" s="143"/>
      <c r="J76" s="143"/>
      <c r="K76" s="144"/>
      <c r="L76" s="145"/>
      <c r="M76" s="143"/>
      <c r="O76" s="82"/>
      <c r="P76" s="82"/>
      <c r="Q76" s="82"/>
    </row>
    <row r="77" spans="1:17" s="81" customFormat="1" x14ac:dyDescent="0.25">
      <c r="A77" s="87"/>
      <c r="B77" s="143"/>
      <c r="C77" s="143"/>
      <c r="D77" s="143"/>
      <c r="E77" s="143"/>
      <c r="F77" s="143"/>
      <c r="G77" s="143"/>
      <c r="H77" s="143"/>
      <c r="I77" s="143"/>
      <c r="J77" s="143"/>
      <c r="K77" s="144"/>
      <c r="L77" s="145"/>
      <c r="O77" s="82"/>
      <c r="P77" s="82"/>
      <c r="Q77" s="82"/>
    </row>
    <row r="78" spans="1:17" s="81" customFormat="1" x14ac:dyDescent="0.25">
      <c r="A78" s="87"/>
      <c r="B78" s="143"/>
      <c r="C78" s="143"/>
      <c r="D78" s="143"/>
      <c r="E78" s="143"/>
      <c r="F78" s="143"/>
      <c r="G78" s="143"/>
      <c r="H78" s="143"/>
      <c r="I78" s="143"/>
      <c r="J78" s="143"/>
      <c r="K78" s="144"/>
      <c r="L78" s="145"/>
      <c r="M78" s="171"/>
      <c r="O78" s="82"/>
      <c r="P78" s="82"/>
      <c r="Q78" s="82"/>
    </row>
    <row r="79" spans="1:17" s="81" customFormat="1" x14ac:dyDescent="0.25">
      <c r="A79" s="87"/>
      <c r="B79" s="143"/>
      <c r="C79" s="143"/>
      <c r="D79" s="143"/>
      <c r="E79" s="143"/>
      <c r="F79" s="143"/>
      <c r="G79" s="143"/>
      <c r="H79" s="143"/>
      <c r="I79" s="143"/>
      <c r="J79" s="143"/>
      <c r="K79" s="144"/>
      <c r="L79" s="145"/>
      <c r="O79" s="82"/>
      <c r="P79" s="82"/>
      <c r="Q79" s="82"/>
    </row>
    <row r="80" spans="1:17" s="81" customFormat="1" x14ac:dyDescent="0.25">
      <c r="A80" s="87"/>
      <c r="L80" s="145"/>
      <c r="O80" s="82"/>
      <c r="P80" s="82"/>
      <c r="Q80" s="82"/>
    </row>
    <row r="81" spans="1:17" s="81" customFormat="1" x14ac:dyDescent="0.25">
      <c r="A81" s="87"/>
      <c r="L81" s="145"/>
      <c r="O81" s="82"/>
      <c r="P81" s="82"/>
      <c r="Q81" s="82"/>
    </row>
    <row r="82" spans="1:17" s="81" customFormat="1" x14ac:dyDescent="0.25">
      <c r="A82" s="87"/>
      <c r="B82" s="143"/>
      <c r="C82" s="143"/>
      <c r="D82" s="143"/>
      <c r="E82" s="143"/>
      <c r="F82" s="143"/>
      <c r="G82" s="143"/>
      <c r="H82" s="143"/>
      <c r="I82" s="143"/>
      <c r="J82" s="143"/>
      <c r="L82" s="145"/>
      <c r="M82" s="171"/>
      <c r="O82" s="82"/>
      <c r="P82" s="82"/>
      <c r="Q82" s="82"/>
    </row>
  </sheetData>
  <mergeCells count="8">
    <mergeCell ref="H51:I51"/>
    <mergeCell ref="H65:I65"/>
    <mergeCell ref="H6:J6"/>
    <mergeCell ref="K6:M6"/>
    <mergeCell ref="B7:D7"/>
    <mergeCell ref="E7:G7"/>
    <mergeCell ref="H7:J7"/>
    <mergeCell ref="K7:M7"/>
  </mergeCells>
  <pageMargins left="0" right="0" top="0.53" bottom="0.74" header="0.21" footer="0.4"/>
  <pageSetup scale="75" fitToHeight="0" orientation="portrait" r:id="rId1"/>
  <headerFooter alignWithMargins="0">
    <oddHeader xml:space="preserve">&amp;RKY PSC CN 2020-00378  
 Staff's Data Request Set 1 No. 5 Attachment C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28</vt:i4>
      </vt:variant>
    </vt:vector>
  </HeadingPairs>
  <TitlesOfParts>
    <vt:vector size="49" baseType="lpstr">
      <vt:lpstr>February 20 TCPS CALC</vt:lpstr>
      <vt:lpstr>February 20 TCI REV</vt:lpstr>
      <vt:lpstr>February 20 GCI REV</vt:lpstr>
      <vt:lpstr>March 20 TCPS CALC</vt:lpstr>
      <vt:lpstr>March 20 TCI REV</vt:lpstr>
      <vt:lpstr>March 20 GCI REV</vt:lpstr>
      <vt:lpstr>April 20 TCPS CALC</vt:lpstr>
      <vt:lpstr>April 20 TCI REV</vt:lpstr>
      <vt:lpstr>April 20 GCI REV</vt:lpstr>
      <vt:lpstr>May 20 TCPS CALC</vt:lpstr>
      <vt:lpstr>May 20 TCI REV</vt:lpstr>
      <vt:lpstr>May 20 GCI REV</vt:lpstr>
      <vt:lpstr>June 20 TCPS CALC</vt:lpstr>
      <vt:lpstr>June 20 TCI REV</vt:lpstr>
      <vt:lpstr>June 20 GCI REV</vt:lpstr>
      <vt:lpstr>July 20 TCPS CALC</vt:lpstr>
      <vt:lpstr>July 20 TCI REV</vt:lpstr>
      <vt:lpstr>July 20 GCI REV</vt:lpstr>
      <vt:lpstr>August 20 TCPS CALC</vt:lpstr>
      <vt:lpstr>Aug 20 TCI REV</vt:lpstr>
      <vt:lpstr>August 20 GCI REV</vt:lpstr>
      <vt:lpstr>'April 20 GCI REV'!Print_Area</vt:lpstr>
      <vt:lpstr>'April 20 TCI REV'!Print_Area</vt:lpstr>
      <vt:lpstr>'April 20 TCPS CALC'!Print_Area</vt:lpstr>
      <vt:lpstr>'Aug 20 TCI REV'!Print_Area</vt:lpstr>
      <vt:lpstr>'August 20 GCI REV'!Print_Area</vt:lpstr>
      <vt:lpstr>'August 20 TCPS CALC'!Print_Area</vt:lpstr>
      <vt:lpstr>'February 20 GCI REV'!Print_Area</vt:lpstr>
      <vt:lpstr>'February 20 TCI REV'!Print_Area</vt:lpstr>
      <vt:lpstr>'February 20 TCPS CALC'!Print_Area</vt:lpstr>
      <vt:lpstr>'July 20 GCI REV'!Print_Area</vt:lpstr>
      <vt:lpstr>'July 20 TCI REV'!Print_Area</vt:lpstr>
      <vt:lpstr>'July 20 TCPS CALC'!Print_Area</vt:lpstr>
      <vt:lpstr>'June 20 GCI REV'!Print_Area</vt:lpstr>
      <vt:lpstr>'June 20 TCI REV'!Print_Area</vt:lpstr>
      <vt:lpstr>'June 20 TCPS CALC'!Print_Area</vt:lpstr>
      <vt:lpstr>'March 20 GCI REV'!Print_Area</vt:lpstr>
      <vt:lpstr>'March 20 TCI REV'!Print_Area</vt:lpstr>
      <vt:lpstr>'March 20 TCPS CALC'!Print_Area</vt:lpstr>
      <vt:lpstr>'May 20 GCI REV'!Print_Area</vt:lpstr>
      <vt:lpstr>'May 20 TCI REV'!Print_Area</vt:lpstr>
      <vt:lpstr>'May 20 TCPS CALC'!Print_Area</vt:lpstr>
      <vt:lpstr>'April 20 GCI REV'!Print_Titles</vt:lpstr>
      <vt:lpstr>'August 20 GCI REV'!Print_Titles</vt:lpstr>
      <vt:lpstr>'February 20 GCI REV'!Print_Titles</vt:lpstr>
      <vt:lpstr>'July 20 GCI REV'!Print_Titles</vt:lpstr>
      <vt:lpstr>'June 20 GCI REV'!Print_Titles</vt:lpstr>
      <vt:lpstr>'March 20 GCI REV'!Print_Titles</vt:lpstr>
      <vt:lpstr>'May 20 GCI REV'!Print_Titles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Liggett \ Sean \ David</dc:creator>
  <cp:lastModifiedBy>Ryan \ John</cp:lastModifiedBy>
  <cp:lastPrinted>2021-02-21T20:32:45Z</cp:lastPrinted>
  <dcterms:created xsi:type="dcterms:W3CDTF">2021-02-15T18:41:42Z</dcterms:created>
  <dcterms:modified xsi:type="dcterms:W3CDTF">2021-02-23T22:58:42Z</dcterms:modified>
</cp:coreProperties>
</file>