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24226"/>
  <xr:revisionPtr revIDLastSave="0" documentId="8_{75F62020-68CD-4493-9534-B27A7037148B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Page 1" sheetId="1" r:id="rId1"/>
    <sheet name="Page 2" sheetId="2" r:id="rId2"/>
    <sheet name="Page 3" sheetId="5" r:id="rId3"/>
    <sheet name="Page 4" sheetId="4" r:id="rId4"/>
    <sheet name="Page 5" sheetId="3" r:id="rId5"/>
    <sheet name="Page 6" sheetId="8" r:id="rId6"/>
    <sheet name="Page 7" sheetId="9" r:id="rId7"/>
  </sheets>
  <externalReferences>
    <externalReference r:id="rId8"/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9" l="1"/>
  <c r="E16" i="9" s="1"/>
  <c r="B16" i="9"/>
  <c r="C16" i="9" s="1"/>
  <c r="E14" i="9"/>
  <c r="D14" i="9"/>
  <c r="B14" i="9"/>
  <c r="G12" i="9"/>
  <c r="G11" i="9"/>
  <c r="G10" i="9"/>
  <c r="H9" i="9"/>
  <c r="G9" i="9"/>
  <c r="G8" i="9"/>
  <c r="E13" i="8"/>
  <c r="D13" i="8"/>
  <c r="B13" i="8"/>
  <c r="C13" i="8" s="1"/>
  <c r="H12" i="8"/>
  <c r="C12" i="8"/>
  <c r="G11" i="8"/>
  <c r="G15" i="1" s="1"/>
  <c r="E11" i="8"/>
  <c r="C11" i="8"/>
  <c r="E10" i="8"/>
  <c r="C10" i="8"/>
  <c r="G10" i="8" s="1"/>
  <c r="G9" i="8"/>
  <c r="H9" i="8" s="1"/>
  <c r="F13" i="1" s="1"/>
  <c r="E9" i="8"/>
  <c r="C9" i="8"/>
  <c r="E8" i="8"/>
  <c r="C8" i="8"/>
  <c r="G8" i="8" s="1"/>
  <c r="G7" i="8"/>
  <c r="H7" i="8" s="1"/>
  <c r="F11" i="1" s="1"/>
  <c r="E7" i="8"/>
  <c r="C7" i="8"/>
  <c r="I28" i="3"/>
  <c r="L25" i="3"/>
  <c r="I22" i="3"/>
  <c r="F22" i="3"/>
  <c r="I18" i="3"/>
  <c r="I15" i="3"/>
  <c r="B1" i="3"/>
  <c r="B3" i="4"/>
  <c r="B3" i="3" s="1"/>
  <c r="B1" i="4"/>
  <c r="B1" i="5"/>
  <c r="D32" i="2"/>
  <c r="C32" i="2"/>
  <c r="B32" i="2"/>
  <c r="I30" i="2"/>
  <c r="J30" i="2" s="1"/>
  <c r="E30" i="2"/>
  <c r="J29" i="2"/>
  <c r="I29" i="2"/>
  <c r="G29" i="2"/>
  <c r="E29" i="2"/>
  <c r="G28" i="2"/>
  <c r="I28" i="2" s="1"/>
  <c r="E28" i="2"/>
  <c r="E32" i="2" s="1"/>
  <c r="J27" i="2"/>
  <c r="I27" i="2"/>
  <c r="E27" i="2"/>
  <c r="I25" i="2"/>
  <c r="D19" i="2"/>
  <c r="D34" i="2" s="1"/>
  <c r="C19" i="2"/>
  <c r="C34" i="2" s="1"/>
  <c r="K17" i="2"/>
  <c r="I17" i="2"/>
  <c r="J17" i="2" s="1"/>
  <c r="E17" i="2"/>
  <c r="K16" i="2"/>
  <c r="J16" i="2"/>
  <c r="I16" i="2"/>
  <c r="H16" i="2"/>
  <c r="E16" i="2"/>
  <c r="I15" i="2"/>
  <c r="J15" i="2" s="1"/>
  <c r="H15" i="2"/>
  <c r="K15" i="2" s="1"/>
  <c r="E15" i="2"/>
  <c r="K14" i="2"/>
  <c r="J14" i="2"/>
  <c r="I14" i="2"/>
  <c r="H14" i="2"/>
  <c r="E14" i="2"/>
  <c r="I13" i="2"/>
  <c r="J13" i="2" s="1"/>
  <c r="H13" i="2"/>
  <c r="K13" i="2" s="1"/>
  <c r="E13" i="2"/>
  <c r="H12" i="2"/>
  <c r="K12" i="2" s="1"/>
  <c r="G12" i="2"/>
  <c r="I12" i="2" s="1"/>
  <c r="E12" i="2"/>
  <c r="E19" i="2" s="1"/>
  <c r="E34" i="2" s="1"/>
  <c r="B12" i="2"/>
  <c r="B19" i="2" s="1"/>
  <c r="B34" i="2" s="1"/>
  <c r="K11" i="2"/>
  <c r="I11" i="2"/>
  <c r="J11" i="2" s="1"/>
  <c r="H11" i="2"/>
  <c r="E11" i="2"/>
  <c r="A46" i="1"/>
  <c r="A44" i="1"/>
  <c r="A43" i="1"/>
  <c r="J41" i="1"/>
  <c r="F41" i="1"/>
  <c r="G39" i="1"/>
  <c r="F39" i="1"/>
  <c r="E39" i="1"/>
  <c r="J39" i="1" s="1"/>
  <c r="F18" i="3" s="1"/>
  <c r="D39" i="1"/>
  <c r="C39" i="1"/>
  <c r="B39" i="1"/>
  <c r="E34" i="1"/>
  <c r="F34" i="1" s="1"/>
  <c r="G34" i="1" s="1"/>
  <c r="B34" i="1"/>
  <c r="C34" i="1" s="1"/>
  <c r="D34" i="1" s="1"/>
  <c r="H33" i="1"/>
  <c r="M19" i="1"/>
  <c r="L19" i="1"/>
  <c r="I19" i="1"/>
  <c r="D19" i="1"/>
  <c r="C19" i="1"/>
  <c r="B19" i="1"/>
  <c r="G17" i="1"/>
  <c r="H16" i="1"/>
  <c r="H19" i="1" s="1"/>
  <c r="G16" i="1"/>
  <c r="F16" i="1"/>
  <c r="E12" i="1"/>
  <c r="E19" i="1" s="1"/>
  <c r="H9" i="1"/>
  <c r="I9" i="1" s="1"/>
  <c r="C9" i="1"/>
  <c r="D9" i="1" s="1"/>
  <c r="K19" i="2" l="1"/>
  <c r="J12" i="2"/>
  <c r="I19" i="2"/>
  <c r="G14" i="1"/>
  <c r="H10" i="8"/>
  <c r="F14" i="1" s="1"/>
  <c r="D20" i="5"/>
  <c r="G22" i="3"/>
  <c r="H8" i="8"/>
  <c r="F12" i="1" s="1"/>
  <c r="F19" i="1" s="1"/>
  <c r="N19" i="1" s="1"/>
  <c r="F28" i="3" s="1"/>
  <c r="G12" i="1"/>
  <c r="J19" i="2"/>
  <c r="J28" i="2"/>
  <c r="J32" i="2" s="1"/>
  <c r="I32" i="2"/>
  <c r="H22" i="3"/>
  <c r="K22" i="3" s="1"/>
  <c r="H11" i="8"/>
  <c r="F15" i="1" s="1"/>
  <c r="G13" i="1"/>
  <c r="G11" i="1"/>
  <c r="G18" i="3" l="1"/>
  <c r="H18" i="3" s="1"/>
  <c r="K18" i="3" s="1"/>
  <c r="K25" i="3" s="1"/>
  <c r="D17" i="5"/>
  <c r="D23" i="5"/>
  <c r="G28" i="3"/>
  <c r="H28" i="3" s="1"/>
  <c r="K28" i="3" s="1"/>
  <c r="D14" i="5"/>
  <c r="G15" i="3"/>
  <c r="G19" i="1"/>
  <c r="O19" i="1" s="1"/>
  <c r="F15" i="3" s="1"/>
  <c r="H15" i="3" s="1"/>
  <c r="K15" i="3" l="1"/>
  <c r="H30" i="3"/>
</calcChain>
</file>

<file path=xl/sharedStrings.xml><?xml version="1.0" encoding="utf-8"?>
<sst xmlns="http://schemas.openxmlformats.org/spreadsheetml/2006/main" count="239" uniqueCount="146">
  <si>
    <t xml:space="preserve">                      Kentucky DSM Rider</t>
  </si>
  <si>
    <t>Comparison of Revenue Requirement to Rider Recovery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</si>
  <si>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</si>
  <si>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</si>
  <si>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</si>
  <si>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</si>
  <si>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</si>
  <si>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</si>
  <si>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</si>
  <si>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</si>
  <si>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</si>
  <si>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</si>
  <si>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Projected Program Costs</t>
  </si>
  <si>
    <t>Program Expenditures</t>
  </si>
  <si>
    <t xml:space="preserve">         Rider Collection (F)</t>
  </si>
  <si>
    <t>(Over)/Under Collection</t>
  </si>
  <si>
    <t>Gas</t>
  </si>
  <si>
    <t>Electric</t>
  </si>
  <si>
    <t>Gas (G)</t>
  </si>
  <si>
    <t>Electric (H)</t>
  </si>
  <si>
    <t>NA</t>
  </si>
  <si>
    <t>Residential Programs</t>
  </si>
  <si>
    <t>Gas (D)</t>
  </si>
  <si>
    <t>Electric (E)</t>
  </si>
  <si>
    <t>Commercial Programs</t>
  </si>
  <si>
    <t>Rider</t>
  </si>
  <si>
    <t>Reconciliation (C)</t>
  </si>
  <si>
    <t>Collection (D)</t>
  </si>
  <si>
    <t>Lost</t>
  </si>
  <si>
    <t>Shared</t>
  </si>
  <si>
    <t>Costs</t>
  </si>
  <si>
    <t>Revenues</t>
  </si>
  <si>
    <t>Savings</t>
  </si>
  <si>
    <t>Total</t>
  </si>
  <si>
    <t>Total Costs, Net Lost Revenues, Shared Savings</t>
  </si>
  <si>
    <t>Program</t>
  </si>
  <si>
    <t>Costs (A)</t>
  </si>
  <si>
    <t>Electric Rider DSM</t>
  </si>
  <si>
    <t>Residential Rate RS</t>
  </si>
  <si>
    <t>DS, DP, DT, GS-FL, EH &amp; SP</t>
  </si>
  <si>
    <t>Gas Rider DSM</t>
  </si>
  <si>
    <t>Summary of Billing Determinants</t>
  </si>
  <si>
    <t xml:space="preserve">Year </t>
  </si>
  <si>
    <t>Rates DS, DP, DT,</t>
  </si>
  <si>
    <t>GS-FL, EH, &amp; SP</t>
  </si>
  <si>
    <t>Rate RS</t>
  </si>
  <si>
    <t>Summary of Calculations</t>
  </si>
  <si>
    <t>Expected</t>
  </si>
  <si>
    <t>Total DSM</t>
  </si>
  <si>
    <t>Estimated</t>
  </si>
  <si>
    <t>Rate Schedule</t>
  </si>
  <si>
    <t>True-Up</t>
  </si>
  <si>
    <t>Revenue</t>
  </si>
  <si>
    <t>Billing</t>
  </si>
  <si>
    <t>DSM Cost</t>
  </si>
  <si>
    <t>Requirements</t>
  </si>
  <si>
    <t>$/kWh</t>
  </si>
  <si>
    <t>Amount (A)</t>
  </si>
  <si>
    <t>Costs (B)</t>
  </si>
  <si>
    <t>Determinants (C)</t>
  </si>
  <si>
    <t>Electric Costs</t>
  </si>
  <si>
    <t>Gas Costs</t>
  </si>
  <si>
    <t>Projected Lost Revenues</t>
  </si>
  <si>
    <t>Projected Shared Savings</t>
  </si>
  <si>
    <t>Lost Revenues</t>
  </si>
  <si>
    <t>Shared Savings</t>
  </si>
  <si>
    <t>(11)</t>
  </si>
  <si>
    <t>(12)</t>
  </si>
  <si>
    <t>(13)</t>
  </si>
  <si>
    <t>(14)</t>
  </si>
  <si>
    <t>(G) Column (5) + Column (9) - Column(11).</t>
  </si>
  <si>
    <t>(H) Column (6) + Column (7) + Column (8) + Column (10) - Column(12).</t>
  </si>
  <si>
    <t>Collection (E)</t>
  </si>
  <si>
    <t>(E) Column (4) + Column (5) + Column (6) + Column (7) - Column (8)</t>
  </si>
  <si>
    <t>Demand Side Management Cost Recovery Rider (DSMR)</t>
  </si>
  <si>
    <t>Recovery Rider (DSMR)</t>
  </si>
  <si>
    <t>Budget (Costs, Lost Revenues, &amp; Shared Savings)</t>
  </si>
  <si>
    <t>Total Rider Recovery</t>
  </si>
  <si>
    <t>Riders</t>
  </si>
  <si>
    <t>Duke Energy Kentucky</t>
  </si>
  <si>
    <t>GS-FL, EH, SP, &amp; TT</t>
  </si>
  <si>
    <t>TT</t>
  </si>
  <si>
    <t>Distribution Level Rates Part A</t>
  </si>
  <si>
    <t>Distribution Level Rates Part B</t>
  </si>
  <si>
    <t>Transmission Level Rates &amp;</t>
  </si>
  <si>
    <t>Distribution Level Rates Total</t>
  </si>
  <si>
    <t>Total Program</t>
  </si>
  <si>
    <t>Projected Annual Electric Sales kWH</t>
  </si>
  <si>
    <t>Projected Annual Gas Sales CCF</t>
  </si>
  <si>
    <t>kWh</t>
  </si>
  <si>
    <t>CCF</t>
  </si>
  <si>
    <t>$/CCF</t>
  </si>
  <si>
    <t>Summary of Calculations for Programs</t>
  </si>
  <si>
    <t>(B) Appendix B, page 2.</t>
  </si>
  <si>
    <t>(C) Appendix B, page 4.</t>
  </si>
  <si>
    <t xml:space="preserve">                 Program Expenditures (C)</t>
  </si>
  <si>
    <t>Residential Smart $aver®</t>
  </si>
  <si>
    <t>My Home Energy Report</t>
  </si>
  <si>
    <t>Low Income Neighborhood</t>
  </si>
  <si>
    <t>Low Income Services</t>
  </si>
  <si>
    <t>Residential Energy Assessments</t>
  </si>
  <si>
    <t>Smart $aver® Custom</t>
  </si>
  <si>
    <t>(Over)/Under</t>
  </si>
  <si>
    <t>(D) Recovery allowed in accordance with the Commission's Order in Case No. 2012-00085.</t>
  </si>
  <si>
    <t>(E) Recovery allowed in accordance with the Commission's Order in Case No. 2012-00085.</t>
  </si>
  <si>
    <t>ccf</t>
  </si>
  <si>
    <t>Total Residential</t>
  </si>
  <si>
    <t>% of Total Res Sales</t>
  </si>
  <si>
    <t>Total Residential (Rate RS) Sales</t>
  </si>
  <si>
    <t>Elec % of Total % of Sales</t>
  </si>
  <si>
    <t>Gas % of Total % of Sales</t>
  </si>
  <si>
    <t>Allocation of Costs (B)</t>
  </si>
  <si>
    <t>Small Business Energy Saver</t>
  </si>
  <si>
    <t>(C) Allocation of program expenditures to gas and electric in accordance with the Commission's Order in Case No. 2014-00388.</t>
  </si>
  <si>
    <t>(C) Recovery allowed in accordance with the Commission's Order in Case No. 2012-00085.</t>
  </si>
  <si>
    <t>Power Manager®</t>
  </si>
  <si>
    <t>PowerShare®</t>
  </si>
  <si>
    <t>Power Manager® for Business</t>
  </si>
  <si>
    <t>Residential Program Summary (A)</t>
  </si>
  <si>
    <t>NonResidential Program Summary (A)</t>
  </si>
  <si>
    <t xml:space="preserve">Reconciliation  </t>
  </si>
  <si>
    <t>July 2019 to June 2020</t>
  </si>
  <si>
    <t>(C) Smart $aver® Prescriptive consists of the following technologies: Energy Efficient Food Service Projects, HVAC, Lighting, IT, Pumps and Motors, and Process Equipment.</t>
  </si>
  <si>
    <t>Smart $aver® Prescriptive (C)</t>
  </si>
  <si>
    <t>Projected</t>
  </si>
  <si>
    <t>(1)Load Impacts Net of Free Riders at Meter</t>
  </si>
  <si>
    <t>(B) Allocation of program expenditures to gas and electric in accordance with the Commission's Order in Case No. 2014-00388.</t>
  </si>
  <si>
    <t>(A) See Appendix B, page 2 of 7</t>
  </si>
  <si>
    <t>(1) Load Impacts Net of Free Riders at Meter</t>
  </si>
  <si>
    <t xml:space="preserve">Allocation Factors Projected </t>
  </si>
  <si>
    <t>Smart $aver® Prescriptive</t>
  </si>
  <si>
    <t>Summary of Load Impacts July 2021 Through June 2022 (1)</t>
  </si>
  <si>
    <t>Summary of Load Impacts July 2019 Through June 2020 (1)</t>
  </si>
  <si>
    <t>For July 2019 Through June 2020</t>
  </si>
  <si>
    <t>Allocation Factors based on July 2019-June 2020</t>
  </si>
  <si>
    <t>July 2020 to June 2021</t>
  </si>
  <si>
    <t xml:space="preserve">2021-2022 Projected Program Costs, Lost Revenues, and Shared Savings </t>
  </si>
  <si>
    <t>7/2019 to 6/2020 (A)</t>
  </si>
  <si>
    <t>7/2019 to 6/2020 (B)</t>
  </si>
  <si>
    <t>(B) Actual program expenditures, lost revenues (for this period and from prior period DSM measure installations), and shared savings for the period July 1, 2019 through June 30, 2020.</t>
  </si>
  <si>
    <t>(F) Revenues collected through the DSM Rider between July 1, 2019 and June 30, 2020.</t>
  </si>
  <si>
    <t>(A) Amounts identified in report filed in Case No. 2018-00370</t>
  </si>
  <si>
    <t>(A) (Over)/Under of Appendix B page 1 multiplied by the average three-month commercial paper rate for 2019 to include interest on over or under-recovery in accordance with the Commission's order in Case No. 95-312. Value is:</t>
  </si>
  <si>
    <t>Peak Time Rebate Program</t>
  </si>
  <si>
    <t>(A) Costs, Lost Revenues (for this period and from prior period DSM measure installations), and Shared Savings for Year 9 of portfolio.</t>
  </si>
  <si>
    <t>Revenues collected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</si>
</sst>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00000_);_(&quot;$&quot;* \(#,##0.000000\);_(&quot;$&quot;* &quot;-&quot;??_);_(@_)"/>
    <numFmt numFmtId="168" formatCode="0.000000"/>
    <numFmt numFmtId="169" formatCode="0.000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color theme="4"/>
      <name val="Arial"/>
      <family val="2"/>
    </font>
    <font>
      <sz val="11"/>
      <color theme="1"/>
      <name val="Cambria"/>
      <family val="2"/>
    </font>
    <font>
      <sz val="10"/>
      <color theme="1"/>
      <name val="Arial"/>
      <family val="2"/>
    </font>
    <font>
      <u/>
      <sz val="11"/>
      <color theme="10"/>
      <name val="Cambria"/>
      <family val="2"/>
    </font>
    <font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2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Fill="1" applyBorder="1"/>
    <xf numFmtId="164" fontId="0" fillId="0" borderId="0" xfId="2" applyNumberFormat="1" applyFont="1" applyFill="1"/>
    <xf numFmtId="164" fontId="0" fillId="0" borderId="0" xfId="0" applyNumberFormat="1" applyFill="1"/>
    <xf numFmtId="0" fontId="0" fillId="0" borderId="0" xfId="0" applyFill="1"/>
    <xf numFmtId="164" fontId="0" fillId="0" borderId="0" xfId="0" applyNumberFormat="1" applyFill="1" applyBorder="1"/>
    <xf numFmtId="166" fontId="0" fillId="0" borderId="0" xfId="1" applyNumberFormat="1" applyFont="1" applyFill="1"/>
    <xf numFmtId="166" fontId="0" fillId="0" borderId="0" xfId="0" applyNumberFormat="1" applyFill="1"/>
    <xf numFmtId="0" fontId="0" fillId="0" borderId="1" xfId="0" applyFill="1" applyBorder="1"/>
    <xf numFmtId="164" fontId="0" fillId="0" borderId="0" xfId="2" applyNumberFormat="1" applyFont="1" applyFill="1" applyBorder="1"/>
    <xf numFmtId="49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6" fillId="0" borderId="0" xfId="0" applyNumberFormat="1" applyFont="1" applyFill="1"/>
    <xf numFmtId="0" fontId="6" fillId="0" borderId="0" xfId="0" quotePrefix="1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0" fillId="0" borderId="1" xfId="0" applyFill="1" applyBorder="1" applyAlignment="1">
      <alignment horizontal="left"/>
    </xf>
    <xf numFmtId="164" fontId="0" fillId="0" borderId="0" xfId="2" applyNumberFormat="1" applyFont="1" applyFill="1" applyAlignment="1"/>
    <xf numFmtId="164" fontId="0" fillId="0" borderId="0" xfId="2" applyNumberFormat="1" applyFont="1" applyFill="1" applyBorder="1" applyAlignment="1">
      <alignment horizontal="center"/>
    </xf>
    <xf numFmtId="164" fontId="0" fillId="0" borderId="0" xfId="2" applyNumberFormat="1" applyFont="1" applyFill="1" applyBorder="1" applyAlignment="1"/>
    <xf numFmtId="164" fontId="7" fillId="0" borderId="0" xfId="2" applyNumberFormat="1" applyFont="1" applyFill="1"/>
    <xf numFmtId="167" fontId="0" fillId="0" borderId="0" xfId="2" applyNumberFormat="1" applyFont="1" applyFill="1"/>
    <xf numFmtId="0" fontId="1" fillId="0" borderId="0" xfId="0" applyFont="1" applyFill="1" applyBorder="1"/>
    <xf numFmtId="164" fontId="1" fillId="0" borderId="0" xfId="2" applyNumberFormat="1" applyFont="1" applyFill="1"/>
    <xf numFmtId="0" fontId="1" fillId="0" borderId="0" xfId="0" applyFont="1" applyFill="1" applyAlignment="1">
      <alignment horizontal="right"/>
    </xf>
    <xf numFmtId="0" fontId="5" fillId="0" borderId="0" xfId="0" applyFont="1" applyFill="1"/>
    <xf numFmtId="43" fontId="0" fillId="0" borderId="0" xfId="0" applyNumberFormat="1" applyFill="1"/>
    <xf numFmtId="0" fontId="3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right"/>
    </xf>
    <xf numFmtId="0" fontId="1" fillId="0" borderId="1" xfId="0" applyFont="1" applyFill="1" applyBorder="1"/>
    <xf numFmtId="0" fontId="0" fillId="0" borderId="3" xfId="0" applyFill="1" applyBorder="1"/>
    <xf numFmtId="164" fontId="0" fillId="0" borderId="3" xfId="0" applyNumberFormat="1" applyFill="1" applyBorder="1"/>
    <xf numFmtId="164" fontId="0" fillId="0" borderId="3" xfId="2" applyNumberFormat="1" applyFont="1" applyFill="1" applyBorder="1"/>
    <xf numFmtId="164" fontId="9" fillId="0" borderId="0" xfId="2" applyNumberFormat="1" applyFont="1" applyFill="1" applyBorder="1"/>
    <xf numFmtId="0" fontId="1" fillId="0" borderId="3" xfId="0" applyFont="1" applyFill="1" applyBorder="1"/>
    <xf numFmtId="0" fontId="0" fillId="0" borderId="0" xfId="0" applyFill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/>
    <xf numFmtId="0" fontId="0" fillId="0" borderId="0" xfId="0" applyFill="1" applyAlignment="1">
      <alignment horizontal="center"/>
    </xf>
    <xf numFmtId="164" fontId="4" fillId="0" borderId="0" xfId="5" applyNumberFormat="1" applyFont="1" applyFill="1"/>
    <xf numFmtId="0" fontId="0" fillId="0" borderId="0" xfId="0" applyFill="1"/>
    <xf numFmtId="0" fontId="1" fillId="0" borderId="0" xfId="0" applyFont="1" applyFill="1"/>
    <xf numFmtId="0" fontId="1" fillId="0" borderId="0" xfId="9" applyFont="1" applyFill="1" applyBorder="1" applyAlignment="1">
      <alignment horizontal="center"/>
    </xf>
    <xf numFmtId="0" fontId="3" fillId="0" borderId="0" xfId="9" applyFont="1" applyFill="1" applyBorder="1" applyAlignment="1">
      <alignment horizontal="center" wrapText="1"/>
    </xf>
    <xf numFmtId="167" fontId="1" fillId="0" borderId="0" xfId="2" applyNumberFormat="1" applyFont="1" applyFill="1"/>
    <xf numFmtId="167" fontId="7" fillId="0" borderId="0" xfId="2" applyNumberFormat="1" applyFont="1" applyFill="1"/>
    <xf numFmtId="0" fontId="1" fillId="0" borderId="0" xfId="12" applyFill="1"/>
    <xf numFmtId="0" fontId="8" fillId="0" borderId="0" xfId="12" applyFont="1" applyFill="1" applyAlignment="1">
      <alignment horizontal="right"/>
    </xf>
    <xf numFmtId="0" fontId="1" fillId="0" borderId="0" xfId="12" applyFill="1" applyAlignment="1">
      <alignment horizontal="left"/>
    </xf>
    <xf numFmtId="0" fontId="1" fillId="0" borderId="0" xfId="12" applyFont="1" applyFill="1"/>
    <xf numFmtId="0" fontId="1" fillId="0" borderId="0" xfId="12" applyFill="1" applyAlignment="1">
      <alignment horizontal="center"/>
    </xf>
    <xf numFmtId="0" fontId="1" fillId="0" borderId="0" xfId="12" applyFont="1" applyFill="1" applyAlignment="1">
      <alignment horizontal="left"/>
    </xf>
    <xf numFmtId="164" fontId="4" fillId="0" borderId="0" xfId="13" applyNumberFormat="1" applyFont="1" applyFill="1" applyAlignment="1">
      <alignment horizontal="center"/>
    </xf>
    <xf numFmtId="0" fontId="3" fillId="0" borderId="0" xfId="12" applyFont="1" applyFill="1" applyAlignment="1">
      <alignment horizontal="center"/>
    </xf>
    <xf numFmtId="164" fontId="1" fillId="0" borderId="0" xfId="13" applyNumberFormat="1" applyFont="1" applyFill="1"/>
    <xf numFmtId="164" fontId="1" fillId="0" borderId="0" xfId="12" applyNumberFormat="1" applyFill="1"/>
    <xf numFmtId="164" fontId="0" fillId="0" borderId="0" xfId="13" applyNumberFormat="1" applyFont="1" applyFill="1"/>
    <xf numFmtId="164" fontId="1" fillId="0" borderId="0" xfId="12" applyNumberFormat="1" applyFont="1" applyFill="1"/>
    <xf numFmtId="165" fontId="0" fillId="0" borderId="0" xfId="14" applyNumberFormat="1" applyFont="1" applyFill="1"/>
    <xf numFmtId="0" fontId="1" fillId="0" borderId="0" xfId="12" applyFont="1" applyFill="1" applyAlignment="1">
      <alignment horizontal="center"/>
    </xf>
    <xf numFmtId="0" fontId="11" fillId="0" borderId="0" xfId="12" applyFont="1" applyFill="1"/>
    <xf numFmtId="164" fontId="0" fillId="0" borderId="1" xfId="0" applyNumberFormat="1" applyFill="1" applyBorder="1"/>
    <xf numFmtId="165" fontId="0" fillId="0" borderId="0" xfId="6" applyNumberFormat="1" applyFont="1" applyFill="1"/>
    <xf numFmtId="0" fontId="1" fillId="0" borderId="0" xfId="12" applyFont="1" applyFill="1" applyAlignment="1">
      <alignment horizontal="left" indent="6"/>
    </xf>
    <xf numFmtId="0" fontId="1" fillId="0" borderId="0" xfId="12" applyFont="1" applyFill="1" applyAlignment="1">
      <alignment horizontal="left" indent="7"/>
    </xf>
    <xf numFmtId="0" fontId="1" fillId="0" borderId="0" xfId="12" applyFont="1" applyFill="1" applyAlignment="1">
      <alignment horizontal="left" vertical="center" indent="1"/>
    </xf>
    <xf numFmtId="0" fontId="1" fillId="0" borderId="0" xfId="9" applyFont="1" applyFill="1"/>
    <xf numFmtId="0" fontId="1" fillId="0" borderId="0" xfId="9" applyFill="1"/>
    <xf numFmtId="0" fontId="11" fillId="0" borderId="0" xfId="9" applyFont="1" applyFill="1"/>
    <xf numFmtId="0" fontId="1" fillId="0" borderId="0" xfId="9" applyFont="1"/>
    <xf numFmtId="169" fontId="1" fillId="0" borderId="4" xfId="6" applyNumberFormat="1" applyFont="1" applyBorder="1"/>
    <xf numFmtId="169" fontId="11" fillId="0" borderId="5" xfId="6" applyNumberFormat="1" applyFont="1" applyBorder="1"/>
    <xf numFmtId="9" fontId="11" fillId="0" borderId="0" xfId="6" applyFont="1" applyBorder="1"/>
    <xf numFmtId="0" fontId="0" fillId="0" borderId="0" xfId="0" applyFill="1" applyAlignment="1">
      <alignment horizontal="left" indent="1"/>
    </xf>
    <xf numFmtId="164" fontId="7" fillId="0" borderId="3" xfId="2" applyNumberFormat="1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left"/>
    </xf>
    <xf numFmtId="0" fontId="11" fillId="0" borderId="0" xfId="9" applyFont="1" applyFill="1" applyAlignment="1">
      <alignment horizontal="left" indent="16"/>
    </xf>
    <xf numFmtId="0" fontId="1" fillId="0" borderId="0" xfId="9" applyFont="1" applyFill="1" applyBorder="1" applyAlignment="1"/>
    <xf numFmtId="0" fontId="11" fillId="0" borderId="0" xfId="9" applyFont="1" applyFill="1" applyBorder="1"/>
    <xf numFmtId="0" fontId="3" fillId="0" borderId="0" xfId="9" applyFont="1" applyFill="1" applyBorder="1" applyAlignment="1">
      <alignment horizontal="center"/>
    </xf>
    <xf numFmtId="0" fontId="13" fillId="0" borderId="0" xfId="9" applyFont="1" applyFill="1" applyBorder="1" applyAlignment="1">
      <alignment horizontal="center"/>
    </xf>
    <xf numFmtId="9" fontId="1" fillId="0" borderId="0" xfId="9" applyNumberFormat="1" applyFont="1" applyFill="1"/>
    <xf numFmtId="0" fontId="11" fillId="0" borderId="2" xfId="9" applyFont="1" applyFill="1" applyBorder="1"/>
    <xf numFmtId="166" fontId="11" fillId="0" borderId="5" xfId="9" applyNumberFormat="1" applyFont="1" applyFill="1" applyBorder="1"/>
    <xf numFmtId="166" fontId="11" fillId="0" borderId="0" xfId="9" applyNumberFormat="1" applyFont="1" applyFill="1" applyBorder="1"/>
    <xf numFmtId="9" fontId="11" fillId="0" borderId="0" xfId="6" applyFont="1" applyFill="1" applyBorder="1"/>
    <xf numFmtId="0" fontId="1" fillId="0" borderId="0" xfId="0" applyFont="1" applyFill="1" applyBorder="1" applyAlignment="1">
      <alignment horizontal="left" indent="4"/>
    </xf>
    <xf numFmtId="0" fontId="1" fillId="0" borderId="1" xfId="0" applyFont="1" applyFill="1" applyBorder="1" applyAlignment="1">
      <alignment horizontal="center"/>
    </xf>
    <xf numFmtId="168" fontId="1" fillId="0" borderId="0" xfId="0" applyNumberFormat="1" applyFont="1" applyFill="1" applyAlignment="1">
      <alignment horizontal="left"/>
    </xf>
    <xf numFmtId="166" fontId="1" fillId="0" borderId="4" xfId="7" applyNumberFormat="1" applyFont="1" applyFill="1" applyBorder="1"/>
    <xf numFmtId="169" fontId="1" fillId="0" borderId="4" xfId="6" applyNumberFormat="1" applyFont="1" applyFill="1" applyBorder="1"/>
    <xf numFmtId="166" fontId="11" fillId="0" borderId="4" xfId="8" applyNumberFormat="1" applyFont="1" applyFill="1" applyBorder="1"/>
    <xf numFmtId="169" fontId="11" fillId="0" borderId="5" xfId="6" applyNumberFormat="1" applyFont="1" applyFill="1" applyBorder="1"/>
    <xf numFmtId="164" fontId="1" fillId="0" borderId="3" xfId="0" applyNumberFormat="1" applyFont="1" applyFill="1" applyBorder="1"/>
    <xf numFmtId="164" fontId="1" fillId="0" borderId="0" xfId="2" applyNumberFormat="1" applyFont="1" applyFill="1" applyBorder="1" applyAlignment="1">
      <alignment horizontal="left"/>
    </xf>
    <xf numFmtId="0" fontId="1" fillId="0" borderId="0" xfId="10" applyFont="1" applyFill="1"/>
    <xf numFmtId="0" fontId="1" fillId="0" borderId="0" xfId="10" applyFont="1"/>
    <xf numFmtId="0" fontId="11" fillId="0" borderId="0" xfId="10" applyFont="1" applyFill="1" applyAlignment="1">
      <alignment horizontal="left"/>
    </xf>
    <xf numFmtId="0" fontId="11" fillId="0" borderId="0" xfId="10" applyFont="1"/>
    <xf numFmtId="0" fontId="1" fillId="0" borderId="6" xfId="10" applyFont="1" applyBorder="1" applyAlignment="1">
      <alignment horizontal="left" indent="5"/>
    </xf>
    <xf numFmtId="0" fontId="1" fillId="0" borderId="0" xfId="10" applyFont="1" applyBorder="1" applyAlignment="1">
      <alignment horizontal="left" indent="5"/>
    </xf>
    <xf numFmtId="0" fontId="3" fillId="0" borderId="4" xfId="10" applyFont="1" applyBorder="1" applyAlignment="1">
      <alignment horizontal="center" wrapText="1"/>
    </xf>
    <xf numFmtId="0" fontId="3" fillId="0" borderId="8" xfId="10" applyFont="1" applyBorder="1" applyAlignment="1">
      <alignment horizontal="center" wrapText="1"/>
    </xf>
    <xf numFmtId="0" fontId="13" fillId="0" borderId="6" xfId="10" applyFont="1" applyBorder="1" applyAlignment="1">
      <alignment horizontal="center" wrapText="1"/>
    </xf>
    <xf numFmtId="9" fontId="3" fillId="0" borderId="0" xfId="9" applyNumberFormat="1" applyFont="1" applyAlignment="1">
      <alignment horizontal="center" wrapText="1"/>
    </xf>
    <xf numFmtId="0" fontId="11" fillId="0" borderId="7" xfId="10" applyFont="1" applyBorder="1"/>
    <xf numFmtId="166" fontId="1" fillId="0" borderId="4" xfId="7" applyNumberFormat="1" applyFont="1" applyBorder="1"/>
    <xf numFmtId="166" fontId="11" fillId="0" borderId="6" xfId="8" applyNumberFormat="1" applyFont="1" applyFill="1" applyBorder="1"/>
    <xf numFmtId="9" fontId="1" fillId="0" borderId="0" xfId="9" applyNumberFormat="1" applyFont="1"/>
    <xf numFmtId="0" fontId="1" fillId="0" borderId="0" xfId="10" applyFont="1" applyFill="1" applyBorder="1"/>
    <xf numFmtId="9" fontId="1" fillId="0" borderId="0" xfId="6" applyFont="1"/>
    <xf numFmtId="0" fontId="11" fillId="0" borderId="9" xfId="10" applyFont="1" applyBorder="1"/>
    <xf numFmtId="166" fontId="11" fillId="0" borderId="5" xfId="10" applyNumberFormat="1" applyFont="1" applyBorder="1"/>
    <xf numFmtId="166" fontId="11" fillId="0" borderId="10" xfId="10" applyNumberFormat="1" applyFont="1" applyBorder="1"/>
    <xf numFmtId="166" fontId="11" fillId="0" borderId="0" xfId="10" applyNumberFormat="1" applyFont="1" applyBorder="1"/>
    <xf numFmtId="0" fontId="1" fillId="0" borderId="0" xfId="10" applyFont="1" applyBorder="1"/>
    <xf numFmtId="0" fontId="11" fillId="0" borderId="0" xfId="10" applyFont="1" applyBorder="1"/>
    <xf numFmtId="0" fontId="1" fillId="0" borderId="0" xfId="9"/>
    <xf numFmtId="0" fontId="11" fillId="0" borderId="0" xfId="10" applyFont="1" applyFill="1" applyBorder="1"/>
    <xf numFmtId="0" fontId="14" fillId="0" borderId="0" xfId="0" applyFont="1" applyBorder="1" applyAlignment="1"/>
    <xf numFmtId="0" fontId="15" fillId="0" borderId="7" xfId="10" applyFont="1" applyBorder="1" applyAlignment="1">
      <alignment wrapText="1"/>
    </xf>
    <xf numFmtId="166" fontId="11" fillId="0" borderId="0" xfId="10" applyNumberFormat="1" applyFont="1" applyFill="1" applyBorder="1"/>
    <xf numFmtId="0" fontId="11" fillId="0" borderId="0" xfId="10" applyFont="1" applyFill="1" applyAlignment="1">
      <alignment horizontal="left" indent="17"/>
    </xf>
    <xf numFmtId="0" fontId="1" fillId="0" borderId="0" xfId="12" applyFont="1" applyFill="1" applyAlignment="1">
      <alignment horizontal="center" wrapText="1"/>
    </xf>
    <xf numFmtId="0" fontId="1" fillId="0" borderId="0" xfId="9" applyFont="1" applyFill="1" applyBorder="1" applyAlignment="1">
      <alignment horizontal="center" vertical="center" wrapText="1"/>
    </xf>
    <xf numFmtId="0" fontId="1" fillId="0" borderId="0" xfId="9" applyFont="1" applyFill="1" applyBorder="1" applyAlignment="1">
      <alignment horizontal="center" wrapText="1"/>
    </xf>
  </cellXfs>
  <cellStyles count="15">
    <cellStyle name="Comma" xfId="1" builtinId="3"/>
    <cellStyle name="Comma 10" xfId="8" xr:uid="{00000000-0005-0000-0000-000001000000}"/>
    <cellStyle name="Comma 2" xfId="3" xr:uid="{00000000-0005-0000-0000-000002000000}"/>
    <cellStyle name="Comma 2 6" xfId="7" xr:uid="{00000000-0005-0000-0000-000003000000}"/>
    <cellStyle name="Currency" xfId="2" builtinId="4"/>
    <cellStyle name="Currency 10 5" xfId="13" xr:uid="{00000000-0005-0000-0000-000005000000}"/>
    <cellStyle name="Currency 2" xfId="5" xr:uid="{00000000-0005-0000-0000-000006000000}"/>
    <cellStyle name="Hyperlink 8" xfId="11" xr:uid="{00000000-0005-0000-0000-000007000000}"/>
    <cellStyle name="Normal" xfId="0" builtinId="0"/>
    <cellStyle name="Normal - Style2 2" xfId="12" xr:uid="{00000000-0005-0000-0000-000009000000}"/>
    <cellStyle name="Normal 2" xfId="4" xr:uid="{00000000-0005-0000-0000-00000A000000}"/>
    <cellStyle name="Normal 2 2 2" xfId="9" xr:uid="{00000000-0005-0000-0000-00000B000000}"/>
    <cellStyle name="Normal 2 26" xfId="10" xr:uid="{00000000-0005-0000-0000-00000C000000}"/>
    <cellStyle name="Percent 10 10" xfId="14" xr:uid="{00000000-0005-0000-0000-00000D000000}"/>
    <cellStyle name="Percent 2 2" xfId="6" xr:uid="{00000000-0005-0000-0000-00000E000000}"/>
  </cellStyles>
  <dxfs count="0"/>
  <tableStyles count="0" defaultTableStyle="TableStyleMedium9" defaultPivotStyle="PivotStyleLight16"/>
  <colors>
    <mruColors>
      <color rgb="FFFE7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0247\AppData\Local\Microsoft\Windows\INetCache\Content.Outlook\V7SD7A2C\KY%202018-19%20True%20Up%20working%20ver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0247\AppData\Local\Microsoft\Windows\INetCache\Content.Outlook\V7SD7A2C\Copy%20of%20KY%202018-19%20True%20Up%20jah%20927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s - Partic"/>
      <sheetName val="Control Totals - Prog Cost"/>
      <sheetName val="Lookup"/>
      <sheetName val="INPUTS"/>
      <sheetName val="S$NR Lookup"/>
      <sheetName val="Cost Eff"/>
      <sheetName val="Allocation Factors - Pg 1"/>
      <sheetName val="Table 1 at Meter"/>
      <sheetName val="Programs"/>
      <sheetName val="Lost Revenue Detail"/>
      <sheetName val="LR Pivot"/>
      <sheetName val="HECR &amp; DR"/>
      <sheetName val="Msr Lvl Pivot"/>
      <sheetName val="Cost Staging"/>
      <sheetName val="CES pivot for checking"/>
      <sheetName val="Data - UI Cost Eff"/>
      <sheetName val="Data - UI CES S$NR"/>
      <sheetName val="Cost Alloc Recon pivot"/>
      <sheetName val="Data-Cost Alloc Recon"/>
      <sheetName val="Data-UI Msr Lvl"/>
      <sheetName val="MDO pivot for checking"/>
      <sheetName val="Data-UI MDO"/>
      <sheetName val="Data-UI L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D13" t="str">
            <v>Appliance Recycling Program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0.1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Z13">
            <v>0</v>
          </cell>
        </row>
        <row r="14">
          <cell r="D14" t="str">
            <v>Energy Efficiency Education Program for Schools</v>
          </cell>
          <cell r="F14">
            <v>1798.8978824673843</v>
          </cell>
          <cell r="G14">
            <v>0.42381465384518713</v>
          </cell>
          <cell r="H14">
            <v>5</v>
          </cell>
          <cell r="J14">
            <v>178.78182283090135</v>
          </cell>
          <cell r="K14">
            <v>426.2113864785947</v>
          </cell>
          <cell r="L14">
            <v>126.02594274509335</v>
          </cell>
          <cell r="M14">
            <v>0</v>
          </cell>
          <cell r="N14">
            <v>731.01915205458931</v>
          </cell>
          <cell r="O14">
            <v>6168.0513796712039</v>
          </cell>
          <cell r="P14">
            <v>-5437.0322276166144</v>
          </cell>
          <cell r="Q14">
            <v>0.1</v>
          </cell>
          <cell r="R14">
            <v>-543.70322276166144</v>
          </cell>
          <cell r="T14">
            <v>6168.0513796712039</v>
          </cell>
          <cell r="U14">
            <v>-359.16434272842798</v>
          </cell>
          <cell r="V14">
            <v>5808.8870369427759</v>
          </cell>
          <cell r="W14">
            <v>5808.8870369427759</v>
          </cell>
          <cell r="Y14">
            <v>5265.1838141811149</v>
          </cell>
          <cell r="Z14">
            <v>0</v>
          </cell>
        </row>
        <row r="15">
          <cell r="D15" t="str">
            <v>Low Income Neighborhood</v>
          </cell>
          <cell r="F15">
            <v>244949.65544260415</v>
          </cell>
          <cell r="G15">
            <v>72.29155215754804</v>
          </cell>
          <cell r="H15">
            <v>608</v>
          </cell>
          <cell r="J15">
            <v>34996.973512680539</v>
          </cell>
          <cell r="K15">
            <v>69095.556696044398</v>
          </cell>
          <cell r="L15">
            <v>27277.745366115701</v>
          </cell>
          <cell r="M15">
            <v>0</v>
          </cell>
          <cell r="N15">
            <v>131370.27557484063</v>
          </cell>
          <cell r="O15">
            <v>234459.44178919823</v>
          </cell>
          <cell r="P15">
            <v>-103089.1662143576</v>
          </cell>
          <cell r="Q15">
            <v>0.1</v>
          </cell>
          <cell r="R15">
            <v>-10308.916621435761</v>
          </cell>
          <cell r="T15">
            <v>234459.44178919823</v>
          </cell>
          <cell r="U15">
            <v>0</v>
          </cell>
          <cell r="V15">
            <v>234459.44178919823</v>
          </cell>
          <cell r="W15">
            <v>234459.44178919823</v>
          </cell>
          <cell r="Y15">
            <v>224150.52516776248</v>
          </cell>
          <cell r="Z15">
            <v>459.02873766749997</v>
          </cell>
        </row>
        <row r="16">
          <cell r="D16" t="str">
            <v>Low Income Services</v>
          </cell>
          <cell r="F16">
            <v>223874.45724960719</v>
          </cell>
          <cell r="G16">
            <v>51.521481541481862</v>
          </cell>
          <cell r="H16">
            <v>131</v>
          </cell>
          <cell r="J16">
            <v>39380.21201340916</v>
          </cell>
          <cell r="K16">
            <v>97407.00038881645</v>
          </cell>
          <cell r="L16">
            <v>27562.619273417578</v>
          </cell>
          <cell r="M16">
            <v>0</v>
          </cell>
          <cell r="N16">
            <v>164349.83167564319</v>
          </cell>
          <cell r="O16">
            <v>358633.15891101031</v>
          </cell>
          <cell r="P16">
            <v>-194283.32723536712</v>
          </cell>
          <cell r="Q16">
            <v>0.1</v>
          </cell>
          <cell r="R16">
            <v>-19428.332723536714</v>
          </cell>
          <cell r="T16">
            <v>458781.30934802012</v>
          </cell>
          <cell r="U16">
            <v>0</v>
          </cell>
          <cell r="V16">
            <v>458781.30934802012</v>
          </cell>
          <cell r="W16">
            <v>458781.30934802012</v>
          </cell>
          <cell r="Y16">
            <v>439352.97662448342</v>
          </cell>
          <cell r="Z16">
            <v>154.30927324999999</v>
          </cell>
        </row>
        <row r="17">
          <cell r="D17" t="str">
            <v>My Home Energy Report</v>
          </cell>
          <cell r="F17">
            <v>41723.69207210029</v>
          </cell>
          <cell r="G17">
            <v>11.264711221124152</v>
          </cell>
          <cell r="H17">
            <v>1753</v>
          </cell>
          <cell r="J17">
            <v>789.66781999950013</v>
          </cell>
          <cell r="K17">
            <v>1567.9144933599466</v>
          </cell>
          <cell r="L17">
            <v>559.48220140555168</v>
          </cell>
          <cell r="M17">
            <v>0</v>
          </cell>
          <cell r="N17">
            <v>2917.0645147649984</v>
          </cell>
          <cell r="O17">
            <v>30275.362987549044</v>
          </cell>
          <cell r="P17">
            <v>-27358.298472784045</v>
          </cell>
          <cell r="Q17">
            <v>0.1</v>
          </cell>
          <cell r="R17">
            <v>-2735.8298472784045</v>
          </cell>
          <cell r="T17">
            <v>30275.362987549044</v>
          </cell>
          <cell r="U17">
            <v>188.03303923837106</v>
          </cell>
          <cell r="V17">
            <v>30463.396026787414</v>
          </cell>
          <cell r="W17">
            <v>30463.396026787414</v>
          </cell>
          <cell r="Y17">
            <v>27727.566179509009</v>
          </cell>
          <cell r="Z17">
            <v>1777.1560613926372</v>
          </cell>
        </row>
        <row r="18">
          <cell r="D18" t="str">
            <v>Residential Energy Assessments</v>
          </cell>
          <cell r="F18">
            <v>416795.54794966424</v>
          </cell>
          <cell r="G18">
            <v>74.10863428377624</v>
          </cell>
          <cell r="H18">
            <v>2579</v>
          </cell>
          <cell r="J18">
            <v>55016.712427531464</v>
          </cell>
          <cell r="K18">
            <v>179184.57770193735</v>
          </cell>
          <cell r="L18">
            <v>53543.932334695957</v>
          </cell>
          <cell r="M18">
            <v>0</v>
          </cell>
          <cell r="N18">
            <v>287745.22246416478</v>
          </cell>
          <cell r="O18">
            <v>157263.49579017141</v>
          </cell>
          <cell r="P18">
            <v>130481.72667399337</v>
          </cell>
          <cell r="Q18">
            <v>0.1</v>
          </cell>
          <cell r="R18">
            <v>13048.172667399338</v>
          </cell>
          <cell r="T18">
            <v>157263.49579017141</v>
          </cell>
          <cell r="U18">
            <v>28694.012062059206</v>
          </cell>
          <cell r="V18">
            <v>185957.50785223063</v>
          </cell>
          <cell r="W18">
            <v>185957.50785223063</v>
          </cell>
          <cell r="Y18">
            <v>199005.68051962997</v>
          </cell>
          <cell r="Z18">
            <v>1467.5891143503002</v>
          </cell>
        </row>
        <row r="19">
          <cell r="D19" t="str">
            <v>Residential Smart $aver®</v>
          </cell>
          <cell r="F19">
            <v>6177961.1143357465</v>
          </cell>
          <cell r="G19">
            <v>726.28579718205685</v>
          </cell>
          <cell r="H19">
            <v>234560</v>
          </cell>
          <cell r="J19">
            <v>488601.87631585065</v>
          </cell>
          <cell r="K19">
            <v>2292186.6080884216</v>
          </cell>
          <cell r="L19">
            <v>544377.07451639022</v>
          </cell>
          <cell r="M19">
            <v>0</v>
          </cell>
          <cell r="N19">
            <v>3325165.5589206629</v>
          </cell>
          <cell r="O19">
            <v>1103925.5366413062</v>
          </cell>
          <cell r="P19">
            <v>2221240.0222793566</v>
          </cell>
          <cell r="Q19">
            <v>0.1</v>
          </cell>
          <cell r="R19">
            <v>222124.00222793568</v>
          </cell>
          <cell r="T19">
            <v>1103925.5366413062</v>
          </cell>
          <cell r="U19">
            <v>0</v>
          </cell>
          <cell r="V19">
            <v>1103925.5366413062</v>
          </cell>
          <cell r="W19">
            <v>1103925.5366413062</v>
          </cell>
          <cell r="Y19">
            <v>1326049.538869242</v>
          </cell>
          <cell r="Z19">
            <v>12934.065709834036</v>
          </cell>
        </row>
        <row r="20">
          <cell r="D20" t="str">
            <v>Total</v>
          </cell>
          <cell r="F20">
            <v>7107103.3649321897</v>
          </cell>
          <cell r="G20">
            <v>935.89599103983232</v>
          </cell>
          <cell r="H20">
            <v>239636</v>
          </cell>
          <cell r="J20">
            <v>618964.22391230217</v>
          </cell>
          <cell r="K20">
            <v>2639867.8687550584</v>
          </cell>
          <cell r="L20">
            <v>653446.8796347701</v>
          </cell>
          <cell r="M20">
            <v>0</v>
          </cell>
          <cell r="N20">
            <v>3912278.9723021309</v>
          </cell>
          <cell r="O20">
            <v>1890725.0474989065</v>
          </cell>
          <cell r="P20">
            <v>2021553.9248032246</v>
          </cell>
          <cell r="R20">
            <v>202155.39248032248</v>
          </cell>
          <cell r="T20">
            <v>1990873.1979359163</v>
          </cell>
          <cell r="U20">
            <v>28522.88075856915</v>
          </cell>
          <cell r="V20">
            <v>2019396.0786944854</v>
          </cell>
          <cell r="W20">
            <v>2019396.0786944854</v>
          </cell>
          <cell r="Y20">
            <v>2221551.4711748082</v>
          </cell>
          <cell r="Z20">
            <v>16792.148896494473</v>
          </cell>
        </row>
        <row r="23">
          <cell r="D23" t="str">
            <v>Power Manager®</v>
          </cell>
          <cell r="F23">
            <v>0</v>
          </cell>
          <cell r="G23">
            <v>14014.366017272929</v>
          </cell>
          <cell r="H23">
            <v>12474</v>
          </cell>
          <cell r="J23">
            <v>966433.5234000585</v>
          </cell>
          <cell r="K23">
            <v>0</v>
          </cell>
          <cell r="L23">
            <v>682242.66407099098</v>
          </cell>
          <cell r="M23">
            <v>0</v>
          </cell>
          <cell r="N23">
            <v>1648676.1874710494</v>
          </cell>
          <cell r="O23">
            <v>567793.78880209988</v>
          </cell>
          <cell r="P23">
            <v>1080882.3986689495</v>
          </cell>
          <cell r="Q23">
            <v>0.1</v>
          </cell>
          <cell r="R23">
            <v>108088.23986689496</v>
          </cell>
          <cell r="T23">
            <v>567793.78880209988</v>
          </cell>
          <cell r="U23">
            <v>1160.1744323215389</v>
          </cell>
          <cell r="V23">
            <v>568953.96323442145</v>
          </cell>
          <cell r="W23">
            <v>568953.96323442145</v>
          </cell>
          <cell r="Y23">
            <v>677042.20310131647</v>
          </cell>
          <cell r="Z23">
            <v>0</v>
          </cell>
        </row>
        <row r="24">
          <cell r="D24" t="str">
            <v>Power Manager® for Apartments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-7.409640562305845</v>
          </cell>
          <cell r="P24">
            <v>7.409640562305845</v>
          </cell>
          <cell r="Q24">
            <v>0.1</v>
          </cell>
          <cell r="R24">
            <v>0.74096405623058459</v>
          </cell>
          <cell r="T24">
            <v>-7.409640562305845</v>
          </cell>
          <cell r="U24">
            <v>0</v>
          </cell>
          <cell r="V24">
            <v>-7.409640562305845</v>
          </cell>
          <cell r="W24">
            <v>-7.409640562305845</v>
          </cell>
          <cell r="Y24">
            <v>-6.6686765060752604</v>
          </cell>
          <cell r="Z24">
            <v>0</v>
          </cell>
        </row>
        <row r="25">
          <cell r="D25" t="str">
            <v>Total</v>
          </cell>
          <cell r="F25">
            <v>0</v>
          </cell>
          <cell r="G25">
            <v>14014.366017272929</v>
          </cell>
          <cell r="H25">
            <v>12474</v>
          </cell>
          <cell r="J25">
            <v>966433.5234000585</v>
          </cell>
          <cell r="K25">
            <v>0</v>
          </cell>
          <cell r="L25">
            <v>682242.66407099098</v>
          </cell>
          <cell r="M25">
            <v>0</v>
          </cell>
          <cell r="N25">
            <v>1648676.1874710494</v>
          </cell>
          <cell r="O25">
            <v>567786.37916153762</v>
          </cell>
          <cell r="P25">
            <v>1080889.8083095117</v>
          </cell>
          <cell r="R25">
            <v>108088.98083095119</v>
          </cell>
          <cell r="T25">
            <v>567786.37916153762</v>
          </cell>
          <cell r="U25">
            <v>1160.1744323215389</v>
          </cell>
          <cell r="V25">
            <v>568946.55359385919</v>
          </cell>
          <cell r="W25">
            <v>568946.55359385919</v>
          </cell>
          <cell r="Y25">
            <v>677035.53442481044</v>
          </cell>
          <cell r="Z25">
            <v>0</v>
          </cell>
        </row>
        <row r="28">
          <cell r="D28" t="str">
            <v>Small Business Energy Saver</v>
          </cell>
          <cell r="F28">
            <v>1996312.6520040715</v>
          </cell>
          <cell r="G28">
            <v>348.52253580442402</v>
          </cell>
          <cell r="H28">
            <v>1886689</v>
          </cell>
          <cell r="J28">
            <v>203985.3660348595</v>
          </cell>
          <cell r="K28">
            <v>661328.14646029263</v>
          </cell>
          <cell r="L28">
            <v>143259.96192042393</v>
          </cell>
          <cell r="M28">
            <v>0</v>
          </cell>
          <cell r="N28">
            <v>1008573.4744155761</v>
          </cell>
          <cell r="O28">
            <v>434958.04349195212</v>
          </cell>
          <cell r="P28">
            <v>573615.43092362396</v>
          </cell>
          <cell r="Q28">
            <v>0.1</v>
          </cell>
          <cell r="R28">
            <v>57361.543092362401</v>
          </cell>
          <cell r="T28">
            <v>434958.04349195212</v>
          </cell>
          <cell r="U28">
            <v>1977.5602907635398</v>
          </cell>
          <cell r="V28">
            <v>436935.60378271568</v>
          </cell>
          <cell r="W28">
            <v>436935.60378271568</v>
          </cell>
          <cell r="Y28">
            <v>494297.14687507809</v>
          </cell>
          <cell r="Z28">
            <v>3999.0910896443734</v>
          </cell>
        </row>
        <row r="29">
          <cell r="D29" t="str">
            <v>Smart $aver® Custom</v>
          </cell>
          <cell r="F29">
            <v>11825493.727586938</v>
          </cell>
          <cell r="G29">
            <v>1474.3834159121645</v>
          </cell>
          <cell r="H29">
            <v>3344</v>
          </cell>
          <cell r="J29">
            <v>1159131.5763699899</v>
          </cell>
          <cell r="K29">
            <v>4882385.1393577382</v>
          </cell>
          <cell r="L29">
            <v>988612.4469782766</v>
          </cell>
          <cell r="M29">
            <v>0</v>
          </cell>
          <cell r="N29">
            <v>7030129.1627060045</v>
          </cell>
          <cell r="O29">
            <v>1273740.6820607511</v>
          </cell>
          <cell r="P29">
            <v>5756388.4806452533</v>
          </cell>
          <cell r="Q29">
            <v>0.1</v>
          </cell>
          <cell r="R29">
            <v>575638.8480645254</v>
          </cell>
          <cell r="T29">
            <v>1273740.6820607511</v>
          </cell>
          <cell r="U29">
            <v>1476.1846497048118</v>
          </cell>
          <cell r="V29">
            <v>1275216.8667104559</v>
          </cell>
          <cell r="W29">
            <v>1275216.8667104559</v>
          </cell>
          <cell r="Y29">
            <v>1850855.7147749811</v>
          </cell>
          <cell r="Z29">
            <v>11889.015550632941</v>
          </cell>
        </row>
        <row r="30">
          <cell r="D30" t="str">
            <v>Smart $aver® Non-Residential Performance Incentive Program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41.756372334714271</v>
          </cell>
          <cell r="P30">
            <v>-41.756372334714271</v>
          </cell>
          <cell r="Q30">
            <v>0.1</v>
          </cell>
          <cell r="R30">
            <v>-4.1756372334714271</v>
          </cell>
          <cell r="T30">
            <v>41.756372334714271</v>
          </cell>
          <cell r="U30">
            <v>0</v>
          </cell>
          <cell r="V30">
            <v>41.756372334714271</v>
          </cell>
          <cell r="W30">
            <v>41.756372334714271</v>
          </cell>
          <cell r="Y30">
            <v>37.580735101242844</v>
          </cell>
          <cell r="Z30">
            <v>0</v>
          </cell>
        </row>
        <row r="31">
          <cell r="D31" t="str">
            <v>Smart $aver® Prescriptive - Energy Star Food Service Products</v>
          </cell>
          <cell r="F31">
            <v>108257.05095257622</v>
          </cell>
          <cell r="G31">
            <v>12.41002823950293</v>
          </cell>
          <cell r="H31">
            <v>86</v>
          </cell>
          <cell r="J31">
            <v>7440.4934347093904</v>
          </cell>
          <cell r="K31">
            <v>34174.598116395471</v>
          </cell>
          <cell r="L31">
            <v>5222.6173282880072</v>
          </cell>
          <cell r="M31">
            <v>0</v>
          </cell>
          <cell r="N31">
            <v>46837.708879392863</v>
          </cell>
          <cell r="O31">
            <v>17852.221829686026</v>
          </cell>
          <cell r="P31">
            <v>28985.487049706837</v>
          </cell>
          <cell r="Q31">
            <v>0.1</v>
          </cell>
          <cell r="R31">
            <v>2898.548704970684</v>
          </cell>
          <cell r="T31">
            <v>17852.221829686026</v>
          </cell>
          <cell r="U31">
            <v>460.34729605922882</v>
          </cell>
          <cell r="V31">
            <v>18312.569125745256</v>
          </cell>
          <cell r="W31">
            <v>18312.569125745256</v>
          </cell>
          <cell r="Y31">
            <v>21211.117830715939</v>
          </cell>
          <cell r="Z31">
            <v>149.14808374280855</v>
          </cell>
        </row>
        <row r="32">
          <cell r="D32" t="str">
            <v>Smart $aver® Prescriptive - HVAC</v>
          </cell>
          <cell r="F32">
            <v>166665.95801041156</v>
          </cell>
          <cell r="G32">
            <v>78.422957139228316</v>
          </cell>
          <cell r="H32">
            <v>311217.48000000004</v>
          </cell>
          <cell r="J32">
            <v>63833.309178528158</v>
          </cell>
          <cell r="K32">
            <v>69573.472249258222</v>
          </cell>
          <cell r="L32">
            <v>44865.434992354705</v>
          </cell>
          <cell r="M32">
            <v>0</v>
          </cell>
          <cell r="N32">
            <v>178272.21642014111</v>
          </cell>
          <cell r="O32">
            <v>69405.429980087007</v>
          </cell>
          <cell r="P32">
            <v>108866.7864400541</v>
          </cell>
          <cell r="Q32">
            <v>0.1</v>
          </cell>
          <cell r="R32">
            <v>10886.678644005411</v>
          </cell>
          <cell r="T32">
            <v>69405.429980087007</v>
          </cell>
          <cell r="U32">
            <v>920.69459211845765</v>
          </cell>
          <cell r="V32">
            <v>70326.124572205459</v>
          </cell>
          <cell r="W32">
            <v>70326.124572205459</v>
          </cell>
          <cell r="Y32">
            <v>81212.803216210872</v>
          </cell>
          <cell r="Z32">
            <v>171.82252166987871</v>
          </cell>
        </row>
        <row r="33">
          <cell r="D33" t="str">
            <v>Smart $aver® Prescriptive - IT</v>
          </cell>
          <cell r="F33">
            <v>0</v>
          </cell>
          <cell r="G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3829.5285648010376</v>
          </cell>
          <cell r="P33">
            <v>-3829.5285648010376</v>
          </cell>
          <cell r="Q33">
            <v>0.1</v>
          </cell>
          <cell r="R33">
            <v>-382.95285648010378</v>
          </cell>
          <cell r="T33">
            <v>3829.5285648010376</v>
          </cell>
          <cell r="U33">
            <v>0</v>
          </cell>
          <cell r="V33">
            <v>3829.5285648010376</v>
          </cell>
          <cell r="W33">
            <v>3829.5285648010376</v>
          </cell>
          <cell r="Y33">
            <v>3446.5757083209337</v>
          </cell>
          <cell r="Z33">
            <v>0</v>
          </cell>
        </row>
        <row r="34">
          <cell r="D34" t="str">
            <v>Smart $aver® Prescriptive - Lighting</v>
          </cell>
          <cell r="F34">
            <v>5007195.99827863</v>
          </cell>
          <cell r="G34">
            <v>959.98823670651859</v>
          </cell>
          <cell r="H34">
            <v>55356</v>
          </cell>
          <cell r="J34">
            <v>744488.35881557001</v>
          </cell>
          <cell r="K34">
            <v>2170719.1300260955</v>
          </cell>
          <cell r="L34">
            <v>520865.08853208181</v>
          </cell>
          <cell r="M34">
            <v>0</v>
          </cell>
          <cell r="N34">
            <v>3436072.5773737472</v>
          </cell>
          <cell r="O34">
            <v>703048.09881387581</v>
          </cell>
          <cell r="P34">
            <v>2733024.4785598712</v>
          </cell>
          <cell r="Q34">
            <v>0.1</v>
          </cell>
          <cell r="R34">
            <v>273302.44785598712</v>
          </cell>
          <cell r="T34">
            <v>703048.09881387581</v>
          </cell>
          <cell r="U34">
            <v>13963.867980463274</v>
          </cell>
          <cell r="V34">
            <v>717011.96679433913</v>
          </cell>
          <cell r="W34">
            <v>717011.96679433913</v>
          </cell>
          <cell r="Y34">
            <v>990314.41465032625</v>
          </cell>
          <cell r="Z34">
            <v>5116.8804097749744</v>
          </cell>
        </row>
        <row r="35">
          <cell r="D35" t="str">
            <v>Smart $aver® Prescriptive - Motors/Pumps/VFD</v>
          </cell>
          <cell r="F35">
            <v>49238.250117521224</v>
          </cell>
          <cell r="G35">
            <v>14.768999729148236</v>
          </cell>
          <cell r="H35">
            <v>130</v>
          </cell>
          <cell r="J35">
            <v>11376.869249903624</v>
          </cell>
          <cell r="K35">
            <v>19996.108771482344</v>
          </cell>
          <cell r="L35">
            <v>7966.5459689788604</v>
          </cell>
          <cell r="M35">
            <v>0</v>
          </cell>
          <cell r="N35">
            <v>39339.523990364833</v>
          </cell>
          <cell r="O35">
            <v>13720.414923480086</v>
          </cell>
          <cell r="P35">
            <v>25619.109066884746</v>
          </cell>
          <cell r="Q35">
            <v>0.1</v>
          </cell>
          <cell r="R35">
            <v>2561.9109066884748</v>
          </cell>
          <cell r="T35">
            <v>13720.414923480086</v>
          </cell>
          <cell r="U35">
            <v>0</v>
          </cell>
          <cell r="V35">
            <v>13720.414923480086</v>
          </cell>
          <cell r="W35">
            <v>13720.414923480086</v>
          </cell>
          <cell r="Y35">
            <v>16282.32583016856</v>
          </cell>
          <cell r="Z35">
            <v>0</v>
          </cell>
        </row>
        <row r="36">
          <cell r="D36" t="str">
            <v>Smart $aver® Prescriptive - Process Equipment</v>
          </cell>
          <cell r="F36">
            <v>0</v>
          </cell>
          <cell r="G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2506.9759235085908</v>
          </cell>
          <cell r="P36">
            <v>-2506.9759235085908</v>
          </cell>
          <cell r="Q36">
            <v>0.1</v>
          </cell>
          <cell r="R36">
            <v>-250.69759235085908</v>
          </cell>
          <cell r="T36">
            <v>2506.9759235085908</v>
          </cell>
          <cell r="U36">
            <v>0</v>
          </cell>
          <cell r="V36">
            <v>2506.9759235085908</v>
          </cell>
          <cell r="W36">
            <v>2506.9759235085908</v>
          </cell>
          <cell r="Y36">
            <v>2256.2783311577318</v>
          </cell>
          <cell r="Z36">
            <v>0</v>
          </cell>
        </row>
        <row r="37">
          <cell r="D37" t="str">
            <v>Total</v>
          </cell>
          <cell r="F37">
            <v>19153163.63695015</v>
          </cell>
          <cell r="G37">
            <v>2888.4961735309867</v>
          </cell>
          <cell r="H37">
            <v>2256822.48</v>
          </cell>
          <cell r="J37">
            <v>2190255.9730835608</v>
          </cell>
          <cell r="K37">
            <v>7838176.5949812625</v>
          </cell>
          <cell r="L37">
            <v>1710792.0957204038</v>
          </cell>
          <cell r="M37">
            <v>0</v>
          </cell>
          <cell r="N37">
            <v>11739224.663785227</v>
          </cell>
          <cell r="O37">
            <v>2519103.1519604768</v>
          </cell>
          <cell r="P37">
            <v>9220121.5118247494</v>
          </cell>
          <cell r="R37">
            <v>922012.15118247492</v>
          </cell>
          <cell r="T37">
            <v>2519103.1519604768</v>
          </cell>
          <cell r="U37">
            <v>18798.654809109314</v>
          </cell>
          <cell r="V37">
            <v>2537901.8067695857</v>
          </cell>
          <cell r="W37">
            <v>2537901.8067695857</v>
          </cell>
          <cell r="Y37">
            <v>3459913.9579520607</v>
          </cell>
          <cell r="Z37">
            <v>21325.957655464976</v>
          </cell>
        </row>
        <row r="40">
          <cell r="D40" t="str">
            <v>Power Manager® for Business</v>
          </cell>
          <cell r="F40">
            <v>939.30476258170734</v>
          </cell>
          <cell r="G40">
            <v>63.804322648652295</v>
          </cell>
          <cell r="H40">
            <v>52.710000000000008</v>
          </cell>
          <cell r="J40">
            <v>4597.3853030451091</v>
          </cell>
          <cell r="K40">
            <v>241.98259597383191</v>
          </cell>
          <cell r="L40">
            <v>3245.7528341254188</v>
          </cell>
          <cell r="M40">
            <v>0</v>
          </cell>
          <cell r="N40">
            <v>8085.1207331443602</v>
          </cell>
          <cell r="O40">
            <v>2722.9001164544788</v>
          </cell>
          <cell r="P40">
            <v>5362.2206166898814</v>
          </cell>
          <cell r="Q40">
            <v>0.1</v>
          </cell>
          <cell r="R40">
            <v>536.2220616689882</v>
          </cell>
          <cell r="T40">
            <v>2722.9001164544788</v>
          </cell>
          <cell r="U40">
            <v>0</v>
          </cell>
          <cell r="V40">
            <v>2722.9001164544788</v>
          </cell>
          <cell r="W40">
            <v>2722.9001164544788</v>
          </cell>
          <cell r="Y40">
            <v>3259.1221781234672</v>
          </cell>
          <cell r="Z40">
            <v>0</v>
          </cell>
        </row>
        <row r="41">
          <cell r="D41" t="str">
            <v>PowerShare®</v>
          </cell>
          <cell r="F41">
            <v>0</v>
          </cell>
          <cell r="G41">
            <v>18468.774692028546</v>
          </cell>
          <cell r="H41">
            <v>17</v>
          </cell>
          <cell r="J41">
            <v>1270618.5281551576</v>
          </cell>
          <cell r="K41">
            <v>0</v>
          </cell>
          <cell r="L41">
            <v>896540.27564674325</v>
          </cell>
          <cell r="M41">
            <v>0</v>
          </cell>
          <cell r="N41">
            <v>2167158.8038019007</v>
          </cell>
          <cell r="O41">
            <v>593292.30082561518</v>
          </cell>
          <cell r="P41">
            <v>1573866.5029762855</v>
          </cell>
          <cell r="Q41">
            <v>0.1</v>
          </cell>
          <cell r="R41">
            <v>157386.65029762857</v>
          </cell>
          <cell r="T41">
            <v>593292.30082561518</v>
          </cell>
          <cell r="U41">
            <v>0</v>
          </cell>
          <cell r="V41">
            <v>593292.30082561518</v>
          </cell>
          <cell r="W41">
            <v>593292.30082561518</v>
          </cell>
          <cell r="Y41">
            <v>750678.95112324378</v>
          </cell>
          <cell r="Z41">
            <v>0</v>
          </cell>
        </row>
        <row r="42">
          <cell r="D42" t="str">
            <v>Total</v>
          </cell>
          <cell r="F42">
            <v>939.30476258170734</v>
          </cell>
          <cell r="G42">
            <v>18532.579014677198</v>
          </cell>
          <cell r="H42">
            <v>69.710000000000008</v>
          </cell>
          <cell r="J42">
            <v>1275215.9134582027</v>
          </cell>
          <cell r="K42">
            <v>241.98259597383191</v>
          </cell>
          <cell r="L42">
            <v>899786.02848086867</v>
          </cell>
          <cell r="M42">
            <v>0</v>
          </cell>
          <cell r="N42">
            <v>2175243.9245350449</v>
          </cell>
          <cell r="O42">
            <v>596015.20094206964</v>
          </cell>
          <cell r="P42">
            <v>1579228.7235929754</v>
          </cell>
          <cell r="R42">
            <v>157922.87235929756</v>
          </cell>
          <cell r="T42">
            <v>596015.20094206964</v>
          </cell>
          <cell r="U42">
            <v>0</v>
          </cell>
          <cell r="V42">
            <v>596015.20094206964</v>
          </cell>
          <cell r="W42">
            <v>596015.20094206964</v>
          </cell>
          <cell r="Y42">
            <v>753938.07330136723</v>
          </cell>
          <cell r="Z42">
            <v>0</v>
          </cell>
        </row>
        <row r="45">
          <cell r="D45" t="str">
            <v>Payment Plus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Z45">
            <v>0</v>
          </cell>
        </row>
        <row r="46">
          <cell r="D46" t="str">
            <v>Total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Z46">
            <v>0</v>
          </cell>
        </row>
        <row r="48">
          <cell r="F48">
            <v>26261206.306644924</v>
          </cell>
          <cell r="G48">
            <v>36371.337196520944</v>
          </cell>
          <cell r="H48">
            <v>2509002.19</v>
          </cell>
          <cell r="J48">
            <v>5050869.6338541247</v>
          </cell>
          <cell r="K48">
            <v>10478286.446332294</v>
          </cell>
          <cell r="L48">
            <v>3946267.6679070336</v>
          </cell>
          <cell r="M48">
            <v>0</v>
          </cell>
          <cell r="N48">
            <v>19475423.748093452</v>
          </cell>
          <cell r="O48">
            <v>5573629.7795629911</v>
          </cell>
          <cell r="P48">
            <v>13901793.968530463</v>
          </cell>
          <cell r="R48">
            <v>1390179.396853046</v>
          </cell>
          <cell r="T48">
            <v>5673777.9300000006</v>
          </cell>
          <cell r="U48">
            <v>48481.710000000006</v>
          </cell>
          <cell r="V48">
            <v>5722259.6399999997</v>
          </cell>
          <cell r="W48">
            <v>5722259.6399999997</v>
          </cell>
          <cell r="Y48">
            <v>7112439.0368530471</v>
          </cell>
          <cell r="Z48">
            <v>38118.106551959449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s - Partic"/>
      <sheetName val="Control Totals - Prog Cost"/>
      <sheetName val="INPUTS"/>
      <sheetName val="Lookup"/>
      <sheetName val="S$NR Lookup"/>
      <sheetName val="Cost Eff"/>
      <sheetName val="Allocation Factors - Pg 1"/>
      <sheetName val="Table 1 at Meter"/>
      <sheetName val="Programs"/>
      <sheetName val="Lost Revenue Detail"/>
      <sheetName val="LR Pivot"/>
      <sheetName val="HECR &amp; DR"/>
      <sheetName val="Msr Lvl Pivot"/>
      <sheetName val="Cost Staging"/>
      <sheetName val="CES pivot for checking"/>
      <sheetName val="Data - UI Cost Eff"/>
      <sheetName val="Data - UI CES S$NR"/>
      <sheetName val="Cost Alloc Recon pivot"/>
      <sheetName val="Data-Cost Alloc Recon"/>
      <sheetName val="Data-UI Msr Lvl"/>
      <sheetName val="MDO pivot for checking"/>
      <sheetName val="Data-UI MDO"/>
      <sheetName val="Data-UI L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D13" t="str">
            <v>Appliance Recycling Program</v>
          </cell>
          <cell r="E13"/>
          <cell r="F13">
            <v>0</v>
          </cell>
          <cell r="G13">
            <v>0</v>
          </cell>
          <cell r="H13">
            <v>0</v>
          </cell>
          <cell r="I13"/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0.1</v>
          </cell>
          <cell r="R13">
            <v>0</v>
          </cell>
          <cell r="S13"/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/>
          <cell r="Y13">
            <v>0</v>
          </cell>
          <cell r="Z13">
            <v>0</v>
          </cell>
        </row>
        <row r="14">
          <cell r="D14" t="str">
            <v>Energy Efficiency Education Program for Schools</v>
          </cell>
          <cell r="E14"/>
          <cell r="F14">
            <v>1798.8978824673843</v>
          </cell>
          <cell r="G14">
            <v>0.42381465384518713</v>
          </cell>
          <cell r="H14">
            <v>5</v>
          </cell>
          <cell r="I14"/>
          <cell r="J14">
            <v>178.78182283090135</v>
          </cell>
          <cell r="K14">
            <v>426.2113864785947</v>
          </cell>
          <cell r="L14">
            <v>126.02594274509335</v>
          </cell>
          <cell r="M14">
            <v>0</v>
          </cell>
          <cell r="N14">
            <v>731.01915205458931</v>
          </cell>
          <cell r="O14">
            <v>6168.0513796712039</v>
          </cell>
          <cell r="P14">
            <v>-5437.0322276166144</v>
          </cell>
          <cell r="Q14">
            <v>0.1</v>
          </cell>
          <cell r="R14">
            <v>-543.70322276166144</v>
          </cell>
          <cell r="S14"/>
          <cell r="T14">
            <v>6168.0513796712039</v>
          </cell>
          <cell r="U14">
            <v>-359.16434272842798</v>
          </cell>
          <cell r="V14">
            <v>5808.8870369427759</v>
          </cell>
          <cell r="W14">
            <v>5808.8870369427759</v>
          </cell>
          <cell r="X14"/>
          <cell r="Y14">
            <v>5265.1838141811149</v>
          </cell>
          <cell r="Z14">
            <v>0</v>
          </cell>
        </row>
        <row r="15">
          <cell r="D15" t="str">
            <v>Low Income Neighborhood</v>
          </cell>
          <cell r="E15"/>
          <cell r="F15">
            <v>244949.65544260415</v>
          </cell>
          <cell r="G15">
            <v>72.29155215754804</v>
          </cell>
          <cell r="H15">
            <v>608</v>
          </cell>
          <cell r="I15"/>
          <cell r="J15">
            <v>34996.973512680539</v>
          </cell>
          <cell r="K15">
            <v>69095.556696044398</v>
          </cell>
          <cell r="L15">
            <v>27277.745366115701</v>
          </cell>
          <cell r="M15">
            <v>0</v>
          </cell>
          <cell r="N15">
            <v>131370.27557484063</v>
          </cell>
          <cell r="O15">
            <v>234459.44178919823</v>
          </cell>
          <cell r="P15">
            <v>-103089.1662143576</v>
          </cell>
          <cell r="Q15">
            <v>0.1</v>
          </cell>
          <cell r="R15">
            <v>-10308.916621435761</v>
          </cell>
          <cell r="S15"/>
          <cell r="T15">
            <v>234459.44178919823</v>
          </cell>
          <cell r="U15">
            <v>0</v>
          </cell>
          <cell r="V15">
            <v>234459.44178919823</v>
          </cell>
          <cell r="W15">
            <v>234459.44178919823</v>
          </cell>
          <cell r="X15"/>
          <cell r="Y15">
            <v>224150.52516776248</v>
          </cell>
          <cell r="Z15">
            <v>459.02873766749997</v>
          </cell>
        </row>
        <row r="16">
          <cell r="D16" t="str">
            <v>Low Income Services</v>
          </cell>
          <cell r="E16"/>
          <cell r="F16">
            <v>223874.45724960719</v>
          </cell>
          <cell r="G16">
            <v>51.521481541481862</v>
          </cell>
          <cell r="H16">
            <v>131</v>
          </cell>
          <cell r="I16"/>
          <cell r="J16">
            <v>39380.21201340916</v>
          </cell>
          <cell r="K16">
            <v>97407.00038881645</v>
          </cell>
          <cell r="L16">
            <v>27562.619273417578</v>
          </cell>
          <cell r="M16">
            <v>0</v>
          </cell>
          <cell r="N16">
            <v>164349.83167564319</v>
          </cell>
          <cell r="O16">
            <v>358633.15891101031</v>
          </cell>
          <cell r="P16">
            <v>-194283.32723536712</v>
          </cell>
          <cell r="Q16">
            <v>0.1</v>
          </cell>
          <cell r="R16">
            <v>-19428.332723536714</v>
          </cell>
          <cell r="S16"/>
          <cell r="T16">
            <v>458781.30934802012</v>
          </cell>
          <cell r="U16">
            <v>0</v>
          </cell>
          <cell r="V16">
            <v>458781.30934802012</v>
          </cell>
          <cell r="W16">
            <v>458781.30934802012</v>
          </cell>
          <cell r="X16"/>
          <cell r="Y16">
            <v>439352.97662448342</v>
          </cell>
          <cell r="Z16">
            <v>154.30927324999999</v>
          </cell>
        </row>
        <row r="17">
          <cell r="D17" t="str">
            <v>My Home Energy Report</v>
          </cell>
          <cell r="E17"/>
          <cell r="F17">
            <v>41723.69207210029</v>
          </cell>
          <cell r="G17">
            <v>11.264711221124152</v>
          </cell>
          <cell r="H17">
            <v>1753</v>
          </cell>
          <cell r="I17"/>
          <cell r="J17">
            <v>789.66781999950013</v>
          </cell>
          <cell r="K17">
            <v>1567.9144933599466</v>
          </cell>
          <cell r="L17">
            <v>559.48220140555168</v>
          </cell>
          <cell r="M17">
            <v>0</v>
          </cell>
          <cell r="N17">
            <v>2917.0645147649984</v>
          </cell>
          <cell r="O17">
            <v>30275.362987549044</v>
          </cell>
          <cell r="P17">
            <v>-27358.298472784045</v>
          </cell>
          <cell r="Q17">
            <v>0.1</v>
          </cell>
          <cell r="R17">
            <v>-2735.8298472784045</v>
          </cell>
          <cell r="S17"/>
          <cell r="T17">
            <v>30275.362987549044</v>
          </cell>
          <cell r="U17">
            <v>188.03303923837106</v>
          </cell>
          <cell r="V17">
            <v>30463.396026787414</v>
          </cell>
          <cell r="W17">
            <v>30463.396026787414</v>
          </cell>
          <cell r="X17"/>
          <cell r="Y17">
            <v>27727.566179509009</v>
          </cell>
          <cell r="Z17">
            <v>1777.1560613926372</v>
          </cell>
        </row>
        <row r="18">
          <cell r="D18" t="str">
            <v>Residential Energy Assessments</v>
          </cell>
          <cell r="E18"/>
          <cell r="F18">
            <v>416795.54794966424</v>
          </cell>
          <cell r="G18">
            <v>74.10863428377624</v>
          </cell>
          <cell r="H18">
            <v>2579</v>
          </cell>
          <cell r="I18"/>
          <cell r="J18">
            <v>55016.712427531464</v>
          </cell>
          <cell r="K18">
            <v>179184.57770193735</v>
          </cell>
          <cell r="L18">
            <v>53543.932334695957</v>
          </cell>
          <cell r="M18">
            <v>0</v>
          </cell>
          <cell r="N18">
            <v>287745.22246416478</v>
          </cell>
          <cell r="O18">
            <v>157263.49579017141</v>
          </cell>
          <cell r="P18">
            <v>130481.72667399337</v>
          </cell>
          <cell r="Q18">
            <v>0.1</v>
          </cell>
          <cell r="R18">
            <v>13048.172667399338</v>
          </cell>
          <cell r="S18"/>
          <cell r="T18">
            <v>157263.49579017141</v>
          </cell>
          <cell r="U18">
            <v>28694.012062059206</v>
          </cell>
          <cell r="V18">
            <v>185957.50785223063</v>
          </cell>
          <cell r="W18">
            <v>185957.50785223063</v>
          </cell>
          <cell r="X18"/>
          <cell r="Y18">
            <v>199005.68051962997</v>
          </cell>
          <cell r="Z18">
            <v>1467.5891143503002</v>
          </cell>
        </row>
        <row r="19">
          <cell r="D19" t="str">
            <v>Residential Smart $aver®</v>
          </cell>
          <cell r="E19"/>
          <cell r="F19">
            <v>6177961.1143357465</v>
          </cell>
          <cell r="G19">
            <v>726.28579718205685</v>
          </cell>
          <cell r="H19">
            <v>234560</v>
          </cell>
          <cell r="I19"/>
          <cell r="J19">
            <v>488601.87631585065</v>
          </cell>
          <cell r="K19">
            <v>2292186.6080884216</v>
          </cell>
          <cell r="L19">
            <v>544377.07451639022</v>
          </cell>
          <cell r="M19">
            <v>0</v>
          </cell>
          <cell r="N19">
            <v>3325165.5589206629</v>
          </cell>
          <cell r="O19">
            <v>1103925.5366413062</v>
          </cell>
          <cell r="P19">
            <v>2221240.0222793566</v>
          </cell>
          <cell r="Q19">
            <v>0.1</v>
          </cell>
          <cell r="R19">
            <v>222124.00222793568</v>
          </cell>
          <cell r="S19"/>
          <cell r="T19">
            <v>1103925.5366413062</v>
          </cell>
          <cell r="U19">
            <v>0</v>
          </cell>
          <cell r="V19">
            <v>1103925.5366413062</v>
          </cell>
          <cell r="W19">
            <v>1103925.5366413062</v>
          </cell>
          <cell r="X19"/>
          <cell r="Y19">
            <v>1326049.538869242</v>
          </cell>
          <cell r="Z19">
            <v>12934.065709834036</v>
          </cell>
        </row>
        <row r="20">
          <cell r="D20" t="str">
            <v>Total</v>
          </cell>
          <cell r="E20"/>
          <cell r="F20">
            <v>7107103.3649321897</v>
          </cell>
          <cell r="G20">
            <v>935.89599103983232</v>
          </cell>
          <cell r="H20">
            <v>239636</v>
          </cell>
          <cell r="I20"/>
          <cell r="J20">
            <v>618964.22391230217</v>
          </cell>
          <cell r="K20">
            <v>2639867.8687550584</v>
          </cell>
          <cell r="L20">
            <v>653446.8796347701</v>
          </cell>
          <cell r="M20">
            <v>0</v>
          </cell>
          <cell r="N20">
            <v>3912278.9723021309</v>
          </cell>
          <cell r="O20">
            <v>1890725.0474989065</v>
          </cell>
          <cell r="P20">
            <v>2021553.9248032246</v>
          </cell>
          <cell r="Q20"/>
          <cell r="R20">
            <v>202155.39248032248</v>
          </cell>
          <cell r="S20"/>
          <cell r="T20">
            <v>1990873.1979359163</v>
          </cell>
          <cell r="U20">
            <v>28522.88075856915</v>
          </cell>
          <cell r="V20">
            <v>2019396.0786944854</v>
          </cell>
          <cell r="W20">
            <v>2019396.0786944854</v>
          </cell>
          <cell r="X20"/>
          <cell r="Y20">
            <v>2221551.4711748082</v>
          </cell>
          <cell r="Z20">
            <v>16792.148896494473</v>
          </cell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</row>
        <row r="23">
          <cell r="D23" t="str">
            <v>Power Manager®</v>
          </cell>
          <cell r="E23"/>
          <cell r="F23">
            <v>0</v>
          </cell>
          <cell r="G23">
            <v>14014.366017272929</v>
          </cell>
          <cell r="H23">
            <v>12474</v>
          </cell>
          <cell r="I23"/>
          <cell r="J23">
            <v>966433.5234000585</v>
          </cell>
          <cell r="K23">
            <v>0</v>
          </cell>
          <cell r="L23">
            <v>682242.66407099098</v>
          </cell>
          <cell r="M23">
            <v>0</v>
          </cell>
          <cell r="N23">
            <v>1648676.1874710494</v>
          </cell>
          <cell r="O23">
            <v>567793.78880209988</v>
          </cell>
          <cell r="P23">
            <v>1080882.3986689495</v>
          </cell>
          <cell r="Q23">
            <v>0.1</v>
          </cell>
          <cell r="R23">
            <v>108088.23986689496</v>
          </cell>
          <cell r="S23"/>
          <cell r="T23">
            <v>567793.78880209988</v>
          </cell>
          <cell r="U23">
            <v>1160.1744323215389</v>
          </cell>
          <cell r="V23">
            <v>568953.96323442145</v>
          </cell>
          <cell r="W23">
            <v>568953.96323442145</v>
          </cell>
          <cell r="X23"/>
          <cell r="Y23">
            <v>677042.20310131647</v>
          </cell>
          <cell r="Z23">
            <v>0</v>
          </cell>
        </row>
        <row r="24">
          <cell r="D24" t="str">
            <v>Power Manager® for Apartments</v>
          </cell>
          <cell r="E24"/>
          <cell r="F24">
            <v>0</v>
          </cell>
          <cell r="G24">
            <v>0</v>
          </cell>
          <cell r="H24">
            <v>0</v>
          </cell>
          <cell r="I24"/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-7.409640562305845</v>
          </cell>
          <cell r="P24">
            <v>7.409640562305845</v>
          </cell>
          <cell r="Q24">
            <v>0.1</v>
          </cell>
          <cell r="R24">
            <v>0.74096405623058459</v>
          </cell>
          <cell r="S24"/>
          <cell r="T24">
            <v>-7.409640562305845</v>
          </cell>
          <cell r="U24">
            <v>0</v>
          </cell>
          <cell r="V24">
            <v>-7.409640562305845</v>
          </cell>
          <cell r="W24">
            <v>-7.409640562305845</v>
          </cell>
          <cell r="X24"/>
          <cell r="Y24">
            <v>-6.6686765060752604</v>
          </cell>
          <cell r="Z24">
            <v>0</v>
          </cell>
        </row>
        <row r="25">
          <cell r="D25" t="str">
            <v>Total</v>
          </cell>
          <cell r="E25"/>
          <cell r="F25">
            <v>0</v>
          </cell>
          <cell r="G25">
            <v>14014.366017272929</v>
          </cell>
          <cell r="H25">
            <v>12474</v>
          </cell>
          <cell r="I25"/>
          <cell r="J25">
            <v>966433.5234000585</v>
          </cell>
          <cell r="K25">
            <v>0</v>
          </cell>
          <cell r="L25">
            <v>682242.66407099098</v>
          </cell>
          <cell r="M25">
            <v>0</v>
          </cell>
          <cell r="N25">
            <v>1648676.1874710494</v>
          </cell>
          <cell r="O25">
            <v>567786.37916153762</v>
          </cell>
          <cell r="P25">
            <v>1080889.8083095117</v>
          </cell>
          <cell r="Q25"/>
          <cell r="R25">
            <v>108088.98083095119</v>
          </cell>
          <cell r="S25"/>
          <cell r="T25">
            <v>567786.37916153762</v>
          </cell>
          <cell r="U25">
            <v>1160.1744323215389</v>
          </cell>
          <cell r="V25">
            <v>568946.55359385919</v>
          </cell>
          <cell r="W25">
            <v>568946.55359385919</v>
          </cell>
          <cell r="X25"/>
          <cell r="Y25">
            <v>677035.53442481044</v>
          </cell>
          <cell r="Z25">
            <v>0</v>
          </cell>
        </row>
        <row r="26"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</row>
        <row r="27"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</row>
        <row r="28">
          <cell r="D28" t="str">
            <v>Small Business Energy Saver</v>
          </cell>
          <cell r="E28"/>
          <cell r="F28">
            <v>1996312.6520040715</v>
          </cell>
          <cell r="G28">
            <v>348.52253580442402</v>
          </cell>
          <cell r="H28">
            <v>1886689</v>
          </cell>
          <cell r="I28"/>
          <cell r="J28">
            <v>203985.3660348595</v>
          </cell>
          <cell r="K28">
            <v>661328.14646029263</v>
          </cell>
          <cell r="L28">
            <v>143259.96192042393</v>
          </cell>
          <cell r="M28">
            <v>0</v>
          </cell>
          <cell r="N28">
            <v>1008573.4744155761</v>
          </cell>
          <cell r="O28">
            <v>434958.04349195212</v>
          </cell>
          <cell r="P28">
            <v>573615.43092362396</v>
          </cell>
          <cell r="Q28">
            <v>0.1</v>
          </cell>
          <cell r="R28">
            <v>57361.543092362401</v>
          </cell>
          <cell r="S28"/>
          <cell r="T28">
            <v>434958.04349195212</v>
          </cell>
          <cell r="U28">
            <v>1977.5602907635398</v>
          </cell>
          <cell r="V28">
            <v>436935.60378271568</v>
          </cell>
          <cell r="W28">
            <v>436935.60378271568</v>
          </cell>
          <cell r="X28"/>
          <cell r="Y28">
            <v>494297.14687507809</v>
          </cell>
          <cell r="Z28">
            <v>3999.0910896443734</v>
          </cell>
        </row>
        <row r="29">
          <cell r="D29" t="str">
            <v>Smart $aver® Custom</v>
          </cell>
          <cell r="E29"/>
          <cell r="F29">
            <v>11825493.727586938</v>
          </cell>
          <cell r="G29">
            <v>1474.3834159121645</v>
          </cell>
          <cell r="H29">
            <v>3344</v>
          </cell>
          <cell r="I29"/>
          <cell r="J29">
            <v>1159131.5763699899</v>
          </cell>
          <cell r="K29">
            <v>4882385.1393577382</v>
          </cell>
          <cell r="L29">
            <v>988612.4469782766</v>
          </cell>
          <cell r="M29">
            <v>0</v>
          </cell>
          <cell r="N29">
            <v>7030129.1627060045</v>
          </cell>
          <cell r="O29">
            <v>1273740.6820607511</v>
          </cell>
          <cell r="P29">
            <v>5756388.4806452533</v>
          </cell>
          <cell r="Q29">
            <v>0.1</v>
          </cell>
          <cell r="R29">
            <v>575638.8480645254</v>
          </cell>
          <cell r="S29"/>
          <cell r="T29">
            <v>1273740.6820607511</v>
          </cell>
          <cell r="U29">
            <v>1476.1846497048118</v>
          </cell>
          <cell r="V29">
            <v>1275216.8667104559</v>
          </cell>
          <cell r="W29">
            <v>1275216.8667104559</v>
          </cell>
          <cell r="X29"/>
          <cell r="Y29">
            <v>1850855.7147749811</v>
          </cell>
          <cell r="Z29">
            <v>11889.015550632941</v>
          </cell>
        </row>
        <row r="30">
          <cell r="D30" t="str">
            <v>Smart $aver® Non-Residential Performance Incentive Program</v>
          </cell>
          <cell r="E30"/>
          <cell r="F30">
            <v>0</v>
          </cell>
          <cell r="G30">
            <v>0</v>
          </cell>
          <cell r="H30">
            <v>0</v>
          </cell>
          <cell r="I30"/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41.756372334714271</v>
          </cell>
          <cell r="P30">
            <v>-41.756372334714271</v>
          </cell>
          <cell r="Q30">
            <v>0.1</v>
          </cell>
          <cell r="R30">
            <v>-4.1756372334714271</v>
          </cell>
          <cell r="S30"/>
          <cell r="T30">
            <v>41.756372334714271</v>
          </cell>
          <cell r="U30">
            <v>0</v>
          </cell>
          <cell r="V30">
            <v>41.756372334714271</v>
          </cell>
          <cell r="W30">
            <v>41.756372334714271</v>
          </cell>
          <cell r="X30"/>
          <cell r="Y30">
            <v>37.580735101242844</v>
          </cell>
          <cell r="Z30">
            <v>0</v>
          </cell>
        </row>
        <row r="31">
          <cell r="D31" t="str">
            <v>Smart $aver® Prescriptive - Energy Star Food Service Products</v>
          </cell>
          <cell r="E31"/>
          <cell r="F31">
            <v>108257.05095257622</v>
          </cell>
          <cell r="G31">
            <v>12.41002823950293</v>
          </cell>
          <cell r="H31">
            <v>86</v>
          </cell>
          <cell r="I31"/>
          <cell r="J31">
            <v>7440.4934347093904</v>
          </cell>
          <cell r="K31">
            <v>34174.598116395471</v>
          </cell>
          <cell r="L31">
            <v>5222.6173282880072</v>
          </cell>
          <cell r="M31">
            <v>0</v>
          </cell>
          <cell r="N31">
            <v>46837.708879392863</v>
          </cell>
          <cell r="O31">
            <v>17852.221829686026</v>
          </cell>
          <cell r="P31">
            <v>28985.487049706837</v>
          </cell>
          <cell r="Q31">
            <v>0.1</v>
          </cell>
          <cell r="R31">
            <v>2898.548704970684</v>
          </cell>
          <cell r="S31"/>
          <cell r="T31">
            <v>17852.221829686026</v>
          </cell>
          <cell r="U31">
            <v>460.34729605922882</v>
          </cell>
          <cell r="V31">
            <v>18312.569125745256</v>
          </cell>
          <cell r="W31">
            <v>18312.569125745256</v>
          </cell>
          <cell r="X31"/>
          <cell r="Y31">
            <v>21211.117830715939</v>
          </cell>
          <cell r="Z31">
            <v>149.14808374280855</v>
          </cell>
        </row>
        <row r="32">
          <cell r="D32" t="str">
            <v>Smart $aver® Prescriptive - HVAC</v>
          </cell>
          <cell r="E32"/>
          <cell r="F32">
            <v>166665.95801041156</v>
          </cell>
          <cell r="G32">
            <v>78.422957139228316</v>
          </cell>
          <cell r="H32">
            <v>311217.48000000004</v>
          </cell>
          <cell r="I32"/>
          <cell r="J32">
            <v>63833.309178528158</v>
          </cell>
          <cell r="K32">
            <v>69573.472249258222</v>
          </cell>
          <cell r="L32">
            <v>44865.434992354705</v>
          </cell>
          <cell r="M32">
            <v>0</v>
          </cell>
          <cell r="N32">
            <v>178272.21642014111</v>
          </cell>
          <cell r="O32">
            <v>69405.429980087007</v>
          </cell>
          <cell r="P32">
            <v>108866.7864400541</v>
          </cell>
          <cell r="Q32">
            <v>0.1</v>
          </cell>
          <cell r="R32">
            <v>10886.678644005411</v>
          </cell>
          <cell r="S32"/>
          <cell r="T32">
            <v>69405.429980087007</v>
          </cell>
          <cell r="U32">
            <v>920.69459211845765</v>
          </cell>
          <cell r="V32">
            <v>70326.124572205459</v>
          </cell>
          <cell r="W32">
            <v>70326.124572205459</v>
          </cell>
          <cell r="X32"/>
          <cell r="Y32">
            <v>81212.803216210872</v>
          </cell>
          <cell r="Z32">
            <v>171.82252166987871</v>
          </cell>
        </row>
        <row r="33">
          <cell r="D33" t="str">
            <v>Smart $aver® Prescriptive - IT</v>
          </cell>
          <cell r="E33"/>
          <cell r="F33">
            <v>0</v>
          </cell>
          <cell r="G33">
            <v>0</v>
          </cell>
          <cell r="H33">
            <v>0</v>
          </cell>
          <cell r="I33"/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3829.5285648010376</v>
          </cell>
          <cell r="P33">
            <v>-3829.5285648010376</v>
          </cell>
          <cell r="Q33">
            <v>0.1</v>
          </cell>
          <cell r="R33">
            <v>-382.95285648010378</v>
          </cell>
          <cell r="S33"/>
          <cell r="T33">
            <v>3829.5285648010376</v>
          </cell>
          <cell r="U33">
            <v>0</v>
          </cell>
          <cell r="V33">
            <v>3829.5285648010376</v>
          </cell>
          <cell r="W33">
            <v>3829.5285648010376</v>
          </cell>
          <cell r="X33"/>
          <cell r="Y33">
            <v>3446.5757083209337</v>
          </cell>
          <cell r="Z33">
            <v>0</v>
          </cell>
        </row>
        <row r="34">
          <cell r="D34" t="str">
            <v>Smart $aver® Prescriptive - Lighting</v>
          </cell>
          <cell r="E34"/>
          <cell r="F34">
            <v>5007195.99827863</v>
          </cell>
          <cell r="G34">
            <v>959.98823670651859</v>
          </cell>
          <cell r="H34">
            <v>55356</v>
          </cell>
          <cell r="I34"/>
          <cell r="J34">
            <v>744488.35881557001</v>
          </cell>
          <cell r="K34">
            <v>2170719.1300260955</v>
          </cell>
          <cell r="L34">
            <v>520865.08853208181</v>
          </cell>
          <cell r="M34">
            <v>0</v>
          </cell>
          <cell r="N34">
            <v>3436072.5773737472</v>
          </cell>
          <cell r="O34">
            <v>703048.09881387581</v>
          </cell>
          <cell r="P34">
            <v>2733024.4785598712</v>
          </cell>
          <cell r="Q34">
            <v>0.1</v>
          </cell>
          <cell r="R34">
            <v>273302.44785598712</v>
          </cell>
          <cell r="S34"/>
          <cell r="T34">
            <v>703048.09881387581</v>
          </cell>
          <cell r="U34">
            <v>13963.867980463274</v>
          </cell>
          <cell r="V34">
            <v>717011.96679433913</v>
          </cell>
          <cell r="W34">
            <v>717011.96679433913</v>
          </cell>
          <cell r="X34"/>
          <cell r="Y34">
            <v>990314.41465032625</v>
          </cell>
          <cell r="Z34">
            <v>5116.8804097749744</v>
          </cell>
        </row>
        <row r="35">
          <cell r="D35" t="str">
            <v>Smart $aver® Prescriptive - Motors/Pumps/VFD</v>
          </cell>
          <cell r="E35"/>
          <cell r="F35">
            <v>49238.250117521224</v>
          </cell>
          <cell r="G35">
            <v>14.768999729148236</v>
          </cell>
          <cell r="H35">
            <v>130</v>
          </cell>
          <cell r="I35"/>
          <cell r="J35">
            <v>11376.869249903624</v>
          </cell>
          <cell r="K35">
            <v>19996.108771482344</v>
          </cell>
          <cell r="L35">
            <v>7966.5459689788604</v>
          </cell>
          <cell r="M35">
            <v>0</v>
          </cell>
          <cell r="N35">
            <v>39339.523990364833</v>
          </cell>
          <cell r="O35">
            <v>13720.414923480086</v>
          </cell>
          <cell r="P35">
            <v>25619.109066884746</v>
          </cell>
          <cell r="Q35">
            <v>0.1</v>
          </cell>
          <cell r="R35">
            <v>2561.9109066884748</v>
          </cell>
          <cell r="S35"/>
          <cell r="T35">
            <v>13720.414923480086</v>
          </cell>
          <cell r="U35">
            <v>0</v>
          </cell>
          <cell r="V35">
            <v>13720.414923480086</v>
          </cell>
          <cell r="W35">
            <v>13720.414923480086</v>
          </cell>
          <cell r="X35"/>
          <cell r="Y35">
            <v>16282.32583016856</v>
          </cell>
          <cell r="Z35">
            <v>0</v>
          </cell>
        </row>
        <row r="36">
          <cell r="D36" t="str">
            <v>Smart $aver® Prescriptive - Process Equipment</v>
          </cell>
          <cell r="E36"/>
          <cell r="F36">
            <v>0</v>
          </cell>
          <cell r="G36">
            <v>0</v>
          </cell>
          <cell r="H36">
            <v>0</v>
          </cell>
          <cell r="I36"/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2506.9759235085908</v>
          </cell>
          <cell r="P36">
            <v>-2506.9759235085908</v>
          </cell>
          <cell r="Q36">
            <v>0.1</v>
          </cell>
          <cell r="R36">
            <v>-250.69759235085908</v>
          </cell>
          <cell r="S36"/>
          <cell r="T36">
            <v>2506.9759235085908</v>
          </cell>
          <cell r="U36">
            <v>0</v>
          </cell>
          <cell r="V36">
            <v>2506.9759235085908</v>
          </cell>
          <cell r="W36">
            <v>2506.9759235085908</v>
          </cell>
          <cell r="X36"/>
          <cell r="Y36">
            <v>2256.2783311577318</v>
          </cell>
          <cell r="Z36">
            <v>0</v>
          </cell>
        </row>
        <row r="37">
          <cell r="D37" t="str">
            <v>Total</v>
          </cell>
          <cell r="E37"/>
          <cell r="F37">
            <v>19153163.63695015</v>
          </cell>
          <cell r="G37">
            <v>2888.4961735309867</v>
          </cell>
          <cell r="H37">
            <v>2256822.48</v>
          </cell>
          <cell r="I37"/>
          <cell r="J37">
            <v>2190255.9730835608</v>
          </cell>
          <cell r="K37">
            <v>7838176.5949812625</v>
          </cell>
          <cell r="L37">
            <v>1710792.0957204038</v>
          </cell>
          <cell r="M37">
            <v>0</v>
          </cell>
          <cell r="N37">
            <v>11739224.663785227</v>
          </cell>
          <cell r="O37">
            <v>2519103.1519604768</v>
          </cell>
          <cell r="P37">
            <v>9220121.5118247494</v>
          </cell>
          <cell r="Q37"/>
          <cell r="R37">
            <v>922012.15118247492</v>
          </cell>
          <cell r="S37"/>
          <cell r="T37">
            <v>2519103.1519604768</v>
          </cell>
          <cell r="U37">
            <v>18798.654809109314</v>
          </cell>
          <cell r="V37">
            <v>2537901.8067695857</v>
          </cell>
          <cell r="W37">
            <v>2537901.8067695857</v>
          </cell>
          <cell r="X37"/>
          <cell r="Y37">
            <v>3459913.9579520607</v>
          </cell>
          <cell r="Z37">
            <v>21325.957655464976</v>
          </cell>
        </row>
        <row r="38"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</row>
        <row r="39"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</row>
        <row r="40">
          <cell r="D40" t="str">
            <v>Power Manager® for Business</v>
          </cell>
          <cell r="E40"/>
          <cell r="F40">
            <v>939.30476258170734</v>
          </cell>
          <cell r="G40">
            <v>63.804322648652295</v>
          </cell>
          <cell r="H40">
            <v>52.710000000000008</v>
          </cell>
          <cell r="I40"/>
          <cell r="J40">
            <v>4597.3853030451091</v>
          </cell>
          <cell r="K40">
            <v>241.98259597383191</v>
          </cell>
          <cell r="L40">
            <v>3245.7528341254188</v>
          </cell>
          <cell r="M40">
            <v>0</v>
          </cell>
          <cell r="N40">
            <v>8085.1207331443602</v>
          </cell>
          <cell r="O40">
            <v>2722.9001164544788</v>
          </cell>
          <cell r="P40">
            <v>5362.2206166898814</v>
          </cell>
          <cell r="Q40">
            <v>0.1</v>
          </cell>
          <cell r="R40">
            <v>536.2220616689882</v>
          </cell>
          <cell r="S40"/>
          <cell r="T40">
            <v>2722.9001164544788</v>
          </cell>
          <cell r="U40">
            <v>0</v>
          </cell>
          <cell r="V40">
            <v>2722.9001164544788</v>
          </cell>
          <cell r="W40">
            <v>2722.9001164544788</v>
          </cell>
          <cell r="X40"/>
          <cell r="Y40">
            <v>3259.1221781234672</v>
          </cell>
          <cell r="Z40">
            <v>0</v>
          </cell>
        </row>
        <row r="41">
          <cell r="D41" t="str">
            <v>PowerShare®</v>
          </cell>
          <cell r="E41"/>
          <cell r="F41">
            <v>0</v>
          </cell>
          <cell r="G41">
            <v>18468.774692028546</v>
          </cell>
          <cell r="H41">
            <v>17</v>
          </cell>
          <cell r="I41"/>
          <cell r="J41">
            <v>1270618.5281551576</v>
          </cell>
          <cell r="K41">
            <v>0</v>
          </cell>
          <cell r="L41">
            <v>896540.27564674325</v>
          </cell>
          <cell r="M41">
            <v>0</v>
          </cell>
          <cell r="N41">
            <v>2167158.8038019007</v>
          </cell>
          <cell r="O41">
            <v>593292.30082561518</v>
          </cell>
          <cell r="P41">
            <v>1573866.5029762855</v>
          </cell>
          <cell r="Q41">
            <v>0.1</v>
          </cell>
          <cell r="R41">
            <v>157386.65029762857</v>
          </cell>
          <cell r="S41"/>
          <cell r="T41">
            <v>593292.30082561518</v>
          </cell>
          <cell r="U41">
            <v>0</v>
          </cell>
          <cell r="V41">
            <v>593292.30082561518</v>
          </cell>
          <cell r="W41">
            <v>593292.30082561518</v>
          </cell>
          <cell r="X41"/>
          <cell r="Y41">
            <v>750678.95112324378</v>
          </cell>
          <cell r="Z41">
            <v>0</v>
          </cell>
        </row>
        <row r="42">
          <cell r="D42" t="str">
            <v>Total</v>
          </cell>
          <cell r="E42"/>
          <cell r="F42">
            <v>939.30476258170734</v>
          </cell>
          <cell r="G42">
            <v>18532.579014677198</v>
          </cell>
          <cell r="H42">
            <v>69.710000000000008</v>
          </cell>
          <cell r="I42"/>
          <cell r="J42">
            <v>1275215.9134582027</v>
          </cell>
          <cell r="K42">
            <v>241.98259597383191</v>
          </cell>
          <cell r="L42">
            <v>899786.02848086867</v>
          </cell>
          <cell r="M42">
            <v>0</v>
          </cell>
          <cell r="N42">
            <v>2175243.9245350449</v>
          </cell>
          <cell r="O42">
            <v>596015.20094206964</v>
          </cell>
          <cell r="P42">
            <v>1579228.7235929754</v>
          </cell>
          <cell r="Q42"/>
          <cell r="R42">
            <v>157922.87235929756</v>
          </cell>
          <cell r="S42"/>
          <cell r="T42">
            <v>596015.20094206964</v>
          </cell>
          <cell r="U42">
            <v>0</v>
          </cell>
          <cell r="V42">
            <v>596015.20094206964</v>
          </cell>
          <cell r="W42">
            <v>596015.20094206964</v>
          </cell>
          <cell r="X42"/>
          <cell r="Y42">
            <v>753938.07330136723</v>
          </cell>
          <cell r="Z42">
            <v>0</v>
          </cell>
        </row>
        <row r="43"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</row>
        <row r="44"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</row>
        <row r="45">
          <cell r="D45" t="str">
            <v>Payment Plus</v>
          </cell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/>
          <cell r="Y45">
            <v>0</v>
          </cell>
          <cell r="Z45">
            <v>0</v>
          </cell>
        </row>
        <row r="46">
          <cell r="D46" t="str">
            <v>Total</v>
          </cell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/>
          <cell r="Y46">
            <v>0</v>
          </cell>
          <cell r="Z46">
            <v>0</v>
          </cell>
        </row>
        <row r="47"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</row>
        <row r="48">
          <cell r="D48"/>
          <cell r="E48"/>
          <cell r="F48">
            <v>26261206.306644924</v>
          </cell>
          <cell r="G48">
            <v>36371.337196520944</v>
          </cell>
          <cell r="H48">
            <v>2509002.19</v>
          </cell>
          <cell r="I48"/>
          <cell r="J48">
            <v>5050869.6338541247</v>
          </cell>
          <cell r="K48">
            <v>10478286.446332294</v>
          </cell>
          <cell r="L48">
            <v>3946267.6679070336</v>
          </cell>
          <cell r="M48">
            <v>0</v>
          </cell>
          <cell r="N48">
            <v>19475423.748093452</v>
          </cell>
          <cell r="O48">
            <v>5573629.7795629911</v>
          </cell>
          <cell r="P48">
            <v>13901793.968530463</v>
          </cell>
          <cell r="Q48"/>
          <cell r="R48">
            <v>1390179.396853046</v>
          </cell>
          <cell r="S48"/>
          <cell r="T48">
            <v>5673777.9300000006</v>
          </cell>
          <cell r="U48">
            <v>48481.710000000006</v>
          </cell>
          <cell r="V48">
            <v>5722259.6399999997</v>
          </cell>
          <cell r="W48">
            <v>5722259.6399999997</v>
          </cell>
          <cell r="X48"/>
          <cell r="Y48">
            <v>7112439.0368530471</v>
          </cell>
          <cell r="Z48">
            <v>38118.106551959449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9"/>
  <sheetViews>
    <sheetView tabSelected="1" view="pageLayout" topLeftCell="E1" zoomScale="85" zoomScaleNormal="100" zoomScalePageLayoutView="85" workbookViewId="0">
      <selection activeCell="M1" sqref="M1"/>
    </sheetView>
  </sheetViews>
  <sheetFormatPr defaultColWidth="9.26953125" defaultRowHeight="12.5" x14ac:dyDescent="0.25"/>
  <cols>
    <col min="1" max="1" width="57.453125" style="43" customWidth="1"/>
    <col min="2" max="4" width="22.453125" style="43" customWidth="1"/>
    <col min="5" max="5" width="18.26953125" style="43" customWidth="1"/>
    <col min="6" max="6" width="17.7265625" style="43" customWidth="1"/>
    <col min="7" max="7" width="17.54296875" style="43" customWidth="1"/>
    <col min="8" max="9" width="18.26953125" style="43" customWidth="1"/>
    <col min="10" max="10" width="15.26953125" style="43" customWidth="1"/>
    <col min="11" max="11" width="15.7265625" style="43" customWidth="1"/>
    <col min="12" max="13" width="13.26953125" style="43" customWidth="1"/>
    <col min="14" max="14" width="12.26953125" style="43" customWidth="1"/>
    <col min="15" max="15" width="13.26953125" style="43" customWidth="1"/>
    <col min="16" max="16384" width="9.26953125" style="43"/>
  </cols>
  <sheetData>
    <row r="1" spans="1:19" x14ac:dyDescent="0.25">
      <c r="S1" s="2"/>
    </row>
    <row r="2" spans="1:19" x14ac:dyDescent="0.25">
      <c r="O2" s="44"/>
    </row>
    <row r="3" spans="1:19" x14ac:dyDescent="0.25">
      <c r="E3" s="43" t="s">
        <v>0</v>
      </c>
    </row>
    <row r="4" spans="1:19" x14ac:dyDescent="0.25">
      <c r="S4" s="2"/>
    </row>
    <row r="5" spans="1:19" x14ac:dyDescent="0.25">
      <c r="E5" s="43" t="s">
        <v>1</v>
      </c>
      <c r="J5" s="44"/>
    </row>
    <row r="6" spans="1:19" x14ac:dyDescent="0.25">
      <c r="S6" s="2"/>
    </row>
    <row r="7" spans="1:19" x14ac:dyDescent="0.25"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66</v>
      </c>
      <c r="M7" s="10" t="s">
        <v>67</v>
      </c>
      <c r="N7" s="10" t="s">
        <v>68</v>
      </c>
      <c r="O7" s="10" t="s">
        <v>69</v>
      </c>
    </row>
    <row r="8" spans="1:19" x14ac:dyDescent="0.25">
      <c r="A8" s="43" t="s">
        <v>21</v>
      </c>
      <c r="B8" s="41" t="s">
        <v>12</v>
      </c>
      <c r="C8" s="41" t="s">
        <v>62</v>
      </c>
      <c r="D8" s="41" t="s">
        <v>63</v>
      </c>
      <c r="E8" s="43" t="s">
        <v>13</v>
      </c>
      <c r="F8" s="44" t="s">
        <v>95</v>
      </c>
      <c r="H8" s="41" t="s">
        <v>64</v>
      </c>
      <c r="I8" s="41" t="s">
        <v>65</v>
      </c>
      <c r="J8" s="89">
        <v>2019</v>
      </c>
      <c r="K8" s="43" t="s">
        <v>120</v>
      </c>
      <c r="L8" s="43" t="s">
        <v>14</v>
      </c>
      <c r="N8" s="38" t="s">
        <v>15</v>
      </c>
      <c r="O8" s="38"/>
      <c r="S8" s="2"/>
    </row>
    <row r="9" spans="1:19" x14ac:dyDescent="0.25">
      <c r="B9" s="90" t="s">
        <v>137</v>
      </c>
      <c r="C9" s="11" t="str">
        <f>B9</f>
        <v>7/2019 to 6/2020 (A)</v>
      </c>
      <c r="D9" s="11" t="str">
        <f>C9</f>
        <v>7/2019 to 6/2020 (A)</v>
      </c>
      <c r="E9" s="32" t="s">
        <v>138</v>
      </c>
      <c r="F9" s="11" t="s">
        <v>16</v>
      </c>
      <c r="G9" s="11" t="s">
        <v>17</v>
      </c>
      <c r="H9" s="8" t="str">
        <f>E9</f>
        <v>7/2019 to 6/2020 (B)</v>
      </c>
      <c r="I9" s="8" t="str">
        <f>H9</f>
        <v>7/2019 to 6/2020 (B)</v>
      </c>
      <c r="J9" s="12" t="s">
        <v>22</v>
      </c>
      <c r="K9" s="12" t="s">
        <v>23</v>
      </c>
      <c r="L9" s="11" t="s">
        <v>16</v>
      </c>
      <c r="M9" s="11" t="s">
        <v>17</v>
      </c>
      <c r="N9" s="11" t="s">
        <v>18</v>
      </c>
      <c r="O9" s="11" t="s">
        <v>19</v>
      </c>
    </row>
    <row r="10" spans="1:19" ht="5.25" customHeight="1" x14ac:dyDescent="0.25">
      <c r="B10" s="24"/>
      <c r="C10" s="24"/>
      <c r="D10" s="24"/>
      <c r="E10" s="24"/>
      <c r="F10" s="2"/>
      <c r="G10" s="2"/>
      <c r="H10" s="24"/>
      <c r="I10" s="24"/>
      <c r="L10" s="41"/>
      <c r="M10" s="41"/>
      <c r="N10" s="41"/>
      <c r="O10" s="41"/>
      <c r="Q10" s="1"/>
      <c r="S10" s="9"/>
    </row>
    <row r="11" spans="1:19" x14ac:dyDescent="0.25">
      <c r="A11" s="43" t="s">
        <v>98</v>
      </c>
      <c r="B11" s="24">
        <v>371468</v>
      </c>
      <c r="C11" s="24">
        <v>7935</v>
      </c>
      <c r="D11" s="24">
        <v>-15844</v>
      </c>
      <c r="E11" s="24">
        <v>158232.41545800856</v>
      </c>
      <c r="F11" s="2">
        <f>$E11*VLOOKUP($A11,'Page 6'!$A$7:$H$12,8,FALSE)</f>
        <v>0</v>
      </c>
      <c r="G11" s="2">
        <f>$E11*VLOOKUP($A11,'Page 6'!$A$7:$H$12,7,FALSE)</f>
        <v>158232.41545800856</v>
      </c>
      <c r="H11" s="24">
        <v>3394.1237637125</v>
      </c>
      <c r="I11" s="24">
        <v>-7678.069153437109</v>
      </c>
      <c r="L11" s="41"/>
      <c r="M11" s="41"/>
      <c r="N11" s="41"/>
      <c r="O11" s="41"/>
    </row>
    <row r="12" spans="1:19" x14ac:dyDescent="0.25">
      <c r="A12" s="1" t="s">
        <v>99</v>
      </c>
      <c r="B12" s="24">
        <v>810628</v>
      </c>
      <c r="C12" s="24">
        <v>11128</v>
      </c>
      <c r="D12" s="24">
        <v>-30069</v>
      </c>
      <c r="E12" s="24">
        <f>376520.605874917+101045</f>
        <v>477565.605874917</v>
      </c>
      <c r="F12" s="2">
        <f>$E12*VLOOKUP($A12,'Page 6'!$A$7:$H$12,8,FALSE)</f>
        <v>275989.010176401</v>
      </c>
      <c r="G12" s="2">
        <f>$E12*VLOOKUP($A12,'Page 6'!$A$7:$H$12,7,FALSE)</f>
        <v>201576.59569851606</v>
      </c>
      <c r="H12" s="24">
        <v>4095.184515833334</v>
      </c>
      <c r="I12" s="24">
        <v>-28150.720790663712</v>
      </c>
      <c r="L12" s="41"/>
      <c r="M12" s="41"/>
      <c r="N12" s="41"/>
      <c r="O12" s="41"/>
    </row>
    <row r="13" spans="1:19" x14ac:dyDescent="0.25">
      <c r="A13" s="43" t="s">
        <v>97</v>
      </c>
      <c r="B13" s="57">
        <v>165696</v>
      </c>
      <c r="C13" s="57">
        <v>161739</v>
      </c>
      <c r="D13" s="57">
        <v>13511</v>
      </c>
      <c r="E13" s="24">
        <v>82027.503813393472</v>
      </c>
      <c r="F13" s="2">
        <f>$E13*VLOOKUP($A13,'Page 6'!$A$7:$H$12,8,FALSE)</f>
        <v>0</v>
      </c>
      <c r="G13" s="2">
        <f>$E13*VLOOKUP($A13,'Page 6'!$A$7:$H$12,7,FALSE)</f>
        <v>82027.503813393472</v>
      </c>
      <c r="H13" s="24">
        <v>34406.298972699384</v>
      </c>
      <c r="I13" s="24">
        <v>707.38912708773569</v>
      </c>
      <c r="L13" s="41"/>
      <c r="M13" s="41"/>
      <c r="N13" s="41"/>
      <c r="O13" s="41"/>
    </row>
    <row r="14" spans="1:19" x14ac:dyDescent="0.25">
      <c r="A14" s="1" t="s">
        <v>100</v>
      </c>
      <c r="B14" s="24">
        <v>326678</v>
      </c>
      <c r="C14" s="24">
        <v>15180</v>
      </c>
      <c r="D14" s="24">
        <v>7262</v>
      </c>
      <c r="E14" s="24">
        <v>152246.87767588306</v>
      </c>
      <c r="F14" s="2">
        <f>$E14*VLOOKUP($A14,'Page 6'!$A$7:$H$12,8,FALSE)</f>
        <v>0</v>
      </c>
      <c r="G14" s="2">
        <f>$E14*VLOOKUP($A14,'Page 6'!$A$7:$H$12,7,FALSE)</f>
        <v>152246.87767588306</v>
      </c>
      <c r="H14" s="24">
        <v>12090.459222396343</v>
      </c>
      <c r="I14" s="24">
        <v>6202.8795051280613</v>
      </c>
      <c r="L14" s="41"/>
      <c r="M14" s="41"/>
      <c r="N14" s="41"/>
      <c r="O14" s="41"/>
    </row>
    <row r="15" spans="1:19" x14ac:dyDescent="0.25">
      <c r="A15" s="43" t="s">
        <v>96</v>
      </c>
      <c r="B15" s="57">
        <v>1949221</v>
      </c>
      <c r="C15" s="57">
        <v>260300</v>
      </c>
      <c r="D15" s="57">
        <v>252080</v>
      </c>
      <c r="E15" s="24">
        <v>2064344.8325785939</v>
      </c>
      <c r="F15" s="2">
        <f>$E15*VLOOKUP($A15,'Page 6'!$A$7:$H$12,8,FALSE)</f>
        <v>0</v>
      </c>
      <c r="G15" s="2">
        <f>$E15*VLOOKUP($A15,'Page 6'!$A$7:$H$12,7,FALSE)</f>
        <v>2064344.8325785939</v>
      </c>
      <c r="H15" s="24">
        <v>178042.25676798602</v>
      </c>
      <c r="I15" s="24">
        <v>195042.86029024128</v>
      </c>
      <c r="L15" s="41"/>
      <c r="M15" s="41"/>
      <c r="N15" s="41"/>
      <c r="O15" s="41"/>
    </row>
    <row r="16" spans="1:19" x14ac:dyDescent="0.25">
      <c r="A16" s="43" t="s">
        <v>115</v>
      </c>
      <c r="B16" s="57">
        <v>564560</v>
      </c>
      <c r="C16" s="57">
        <v>0</v>
      </c>
      <c r="D16" s="57">
        <v>131418</v>
      </c>
      <c r="E16" s="24">
        <v>607753.33781666355</v>
      </c>
      <c r="F16" s="2">
        <f>$E16*VLOOKUP($A16,'Page 6'!$A$7:$H$12,8,FALSE)</f>
        <v>0</v>
      </c>
      <c r="G16" s="2">
        <f>$E16*VLOOKUP($A16,'Page 6'!$A$7:$H$12,7,FALSE)</f>
        <v>607753.33781666355</v>
      </c>
      <c r="H16" s="24">
        <f>VLOOKUP($A16,[1]Programs!$D$13:$Z$48,23,FALSE)</f>
        <v>0</v>
      </c>
      <c r="I16" s="24">
        <v>117091.50936915628</v>
      </c>
      <c r="L16" s="41"/>
      <c r="M16" s="41"/>
      <c r="N16" s="41"/>
      <c r="O16" s="41"/>
    </row>
    <row r="17" spans="1:24" x14ac:dyDescent="0.25">
      <c r="A17" s="49" t="s">
        <v>143</v>
      </c>
      <c r="B17" s="57">
        <v>207736</v>
      </c>
      <c r="C17" s="57">
        <v>0</v>
      </c>
      <c r="D17" s="57">
        <v>0</v>
      </c>
      <c r="E17" s="24">
        <v>36811</v>
      </c>
      <c r="F17" s="2">
        <v>0</v>
      </c>
      <c r="G17" s="2">
        <f>E17</f>
        <v>36811</v>
      </c>
      <c r="H17" s="24">
        <v>0</v>
      </c>
      <c r="I17" s="24">
        <v>0</v>
      </c>
      <c r="L17" s="41"/>
      <c r="M17" s="41"/>
      <c r="N17" s="41"/>
      <c r="O17" s="41"/>
    </row>
    <row r="18" spans="1:24" x14ac:dyDescent="0.25">
      <c r="A18" s="76" t="s">
        <v>145</v>
      </c>
      <c r="B18" s="24"/>
      <c r="C18" s="24"/>
      <c r="D18" s="24"/>
      <c r="E18" s="24"/>
      <c r="F18" s="24"/>
      <c r="G18" s="40"/>
      <c r="H18" s="24"/>
      <c r="I18" s="24"/>
      <c r="L18" s="24">
        <v>-509633</v>
      </c>
      <c r="M18" s="24">
        <v>-3272047.01</v>
      </c>
      <c r="N18" s="41"/>
      <c r="O18" s="41"/>
    </row>
    <row r="19" spans="1:24" x14ac:dyDescent="0.25">
      <c r="A19" s="33" t="s">
        <v>33</v>
      </c>
      <c r="B19" s="35">
        <f t="shared" ref="B19:I19" si="0">SUM(B10:B18)</f>
        <v>4395987</v>
      </c>
      <c r="C19" s="35">
        <f t="shared" si="0"/>
        <v>456282</v>
      </c>
      <c r="D19" s="35">
        <f t="shared" si="0"/>
        <v>358358</v>
      </c>
      <c r="E19" s="35">
        <f t="shared" si="0"/>
        <v>3578981.5732174595</v>
      </c>
      <c r="F19" s="35">
        <f t="shared" si="0"/>
        <v>275989.010176401</v>
      </c>
      <c r="G19" s="35">
        <f t="shared" si="0"/>
        <v>3302992.5630410588</v>
      </c>
      <c r="H19" s="35">
        <f t="shared" si="0"/>
        <v>232028.32324262758</v>
      </c>
      <c r="I19" s="35">
        <f t="shared" si="0"/>
        <v>283215.84834751254</v>
      </c>
      <c r="J19" s="96">
        <v>1746882.1599498503</v>
      </c>
      <c r="K19" s="96">
        <v>-7212846.7231607325</v>
      </c>
      <c r="L19" s="34">
        <f>SUM(L18)</f>
        <v>-509633</v>
      </c>
      <c r="M19" s="34">
        <f>SUM(M18)</f>
        <v>-3272047.01</v>
      </c>
      <c r="N19" s="34">
        <f>F19+J19-L19</f>
        <v>2532504.1701262514</v>
      </c>
      <c r="O19" s="34">
        <f>G19+H19+I19+K19-M19</f>
        <v>-122562.97852953384</v>
      </c>
    </row>
    <row r="20" spans="1:24" x14ac:dyDescent="0.25">
      <c r="C20" s="14"/>
      <c r="E20" s="3"/>
      <c r="H20" s="3"/>
      <c r="I20" s="3"/>
    </row>
    <row r="21" spans="1:24" x14ac:dyDescent="0.25">
      <c r="A21" s="44" t="s">
        <v>141</v>
      </c>
      <c r="I21" s="2"/>
    </row>
    <row r="22" spans="1:24" x14ac:dyDescent="0.25">
      <c r="A22" s="44" t="s">
        <v>139</v>
      </c>
      <c r="H22" s="3"/>
      <c r="J22" s="40"/>
      <c r="K22" s="25"/>
      <c r="L22" s="2"/>
      <c r="M22" s="2"/>
    </row>
    <row r="23" spans="1:24" x14ac:dyDescent="0.25">
      <c r="A23" s="44" t="s">
        <v>113</v>
      </c>
      <c r="H23" s="7"/>
      <c r="I23" s="3"/>
      <c r="J23" s="40"/>
      <c r="L23" s="2"/>
      <c r="M23" s="2"/>
    </row>
    <row r="24" spans="1:24" x14ac:dyDescent="0.25">
      <c r="A24" s="44" t="s">
        <v>103</v>
      </c>
      <c r="E24" s="3"/>
      <c r="H24" s="7"/>
      <c r="L24" s="2"/>
      <c r="M24" s="2"/>
    </row>
    <row r="25" spans="1:24" x14ac:dyDescent="0.25">
      <c r="A25" s="44" t="s">
        <v>104</v>
      </c>
      <c r="H25" s="3"/>
    </row>
    <row r="26" spans="1:24" x14ac:dyDescent="0.25">
      <c r="A26" s="44" t="s">
        <v>140</v>
      </c>
      <c r="H26" s="7"/>
    </row>
    <row r="27" spans="1:24" x14ac:dyDescent="0.25">
      <c r="A27" s="43" t="s">
        <v>70</v>
      </c>
      <c r="H27" s="7"/>
    </row>
    <row r="28" spans="1:24" x14ac:dyDescent="0.25">
      <c r="A28" s="43" t="s">
        <v>71</v>
      </c>
      <c r="H28" s="3"/>
      <c r="M28" s="1"/>
    </row>
    <row r="29" spans="1:24" x14ac:dyDescent="0.25">
      <c r="A29" s="44"/>
      <c r="H29" s="3"/>
    </row>
    <row r="30" spans="1:24" x14ac:dyDescent="0.25">
      <c r="A30" s="44"/>
      <c r="H30" s="3"/>
    </row>
    <row r="31" spans="1:24" x14ac:dyDescent="0.25">
      <c r="E31" s="15"/>
      <c r="F31" s="15"/>
      <c r="G31" s="15"/>
      <c r="H31" s="15"/>
      <c r="I31" s="15"/>
      <c r="J31" s="15"/>
    </row>
    <row r="32" spans="1:24" x14ac:dyDescent="0.25">
      <c r="B32" s="10" t="s">
        <v>2</v>
      </c>
      <c r="C32" s="10" t="s">
        <v>3</v>
      </c>
      <c r="D32" s="10" t="s">
        <v>4</v>
      </c>
      <c r="E32" s="16" t="s">
        <v>5</v>
      </c>
      <c r="F32" s="16" t="s">
        <v>6</v>
      </c>
      <c r="G32" s="16" t="s">
        <v>7</v>
      </c>
      <c r="H32" s="16" t="s">
        <v>8</v>
      </c>
      <c r="I32" s="16" t="s">
        <v>9</v>
      </c>
      <c r="J32" s="16" t="s">
        <v>10</v>
      </c>
      <c r="Q32" s="10"/>
      <c r="R32" s="10"/>
      <c r="T32" s="10"/>
      <c r="U32" s="10"/>
      <c r="W32" s="10"/>
      <c r="X32" s="10"/>
    </row>
    <row r="33" spans="1:26" x14ac:dyDescent="0.25">
      <c r="A33" s="43" t="s">
        <v>24</v>
      </c>
      <c r="B33" s="43" t="s">
        <v>12</v>
      </c>
      <c r="C33" s="41" t="s">
        <v>62</v>
      </c>
      <c r="D33" s="41" t="s">
        <v>63</v>
      </c>
      <c r="E33" s="43" t="s">
        <v>13</v>
      </c>
      <c r="F33" s="41" t="s">
        <v>64</v>
      </c>
      <c r="G33" s="41" t="s">
        <v>65</v>
      </c>
      <c r="H33" s="13">
        <f>J8</f>
        <v>2019</v>
      </c>
      <c r="I33" s="41" t="s">
        <v>25</v>
      </c>
      <c r="J33" s="39" t="s">
        <v>102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B34" s="11" t="str">
        <f>B9</f>
        <v>7/2019 to 6/2020 (A)</v>
      </c>
      <c r="C34" s="11" t="str">
        <f>B34</f>
        <v>7/2019 to 6/2020 (A)</v>
      </c>
      <c r="D34" s="11" t="str">
        <f>C34</f>
        <v>7/2019 to 6/2020 (A)</v>
      </c>
      <c r="E34" s="8" t="str">
        <f>E9</f>
        <v>7/2019 to 6/2020 (B)</v>
      </c>
      <c r="F34" s="8" t="str">
        <f>E34</f>
        <v>7/2019 to 6/2020 (B)</v>
      </c>
      <c r="G34" s="8" t="str">
        <f>F34</f>
        <v>7/2019 to 6/2020 (B)</v>
      </c>
      <c r="H34" s="11" t="s">
        <v>26</v>
      </c>
      <c r="I34" s="11" t="s">
        <v>27</v>
      </c>
      <c r="J34" s="17" t="s">
        <v>72</v>
      </c>
      <c r="K34" s="1"/>
      <c r="L34" s="1"/>
      <c r="M34" s="13"/>
      <c r="N34" s="1"/>
      <c r="O34" s="13"/>
      <c r="P34" s="1"/>
      <c r="Q34" s="13"/>
      <c r="R34" s="13"/>
      <c r="S34" s="1"/>
      <c r="T34" s="13"/>
      <c r="U34" s="13"/>
      <c r="V34" s="1"/>
      <c r="W34" s="13"/>
      <c r="X34" s="13"/>
      <c r="Y34" s="1"/>
      <c r="Z34" s="1"/>
    </row>
    <row r="35" spans="1:26" s="1" customFormat="1" x14ac:dyDescent="0.25">
      <c r="A35" s="23" t="s">
        <v>112</v>
      </c>
      <c r="B35" s="24">
        <v>874529</v>
      </c>
      <c r="C35" s="24">
        <v>36499</v>
      </c>
      <c r="D35" s="24">
        <v>116303</v>
      </c>
      <c r="E35" s="24">
        <v>460325.94002386421</v>
      </c>
      <c r="F35" s="24">
        <v>94779.235009801137</v>
      </c>
      <c r="G35" s="24">
        <v>69968.158298072201</v>
      </c>
      <c r="H35" s="20"/>
      <c r="I35" s="20"/>
      <c r="K35" s="19"/>
      <c r="L35" s="20"/>
      <c r="M35" s="9"/>
      <c r="Q35" s="9"/>
      <c r="R35" s="5"/>
      <c r="T35" s="13"/>
      <c r="U35" s="13"/>
      <c r="W35" s="13"/>
      <c r="X35" s="13"/>
    </row>
    <row r="36" spans="1:26" x14ac:dyDescent="0.25">
      <c r="A36" s="44" t="s">
        <v>101</v>
      </c>
      <c r="B36" s="24">
        <v>675415</v>
      </c>
      <c r="C36" s="24">
        <v>36816</v>
      </c>
      <c r="D36" s="24">
        <v>155383</v>
      </c>
      <c r="E36" s="24">
        <v>397763.21405508067</v>
      </c>
      <c r="F36" s="24">
        <v>190461.2510333629</v>
      </c>
      <c r="G36" s="24">
        <v>125575.95417673521</v>
      </c>
      <c r="H36" s="18"/>
      <c r="I36" s="18"/>
      <c r="J36" s="1"/>
      <c r="K36" s="19"/>
      <c r="L36" s="19"/>
      <c r="M36" s="9"/>
      <c r="N36" s="1"/>
      <c r="O36" s="1"/>
      <c r="P36" s="1"/>
      <c r="Q36" s="9"/>
      <c r="R36" s="5"/>
      <c r="S36" s="1"/>
      <c r="T36" s="13"/>
      <c r="U36" s="13"/>
      <c r="V36" s="1"/>
      <c r="W36" s="13"/>
      <c r="X36" s="13"/>
      <c r="Y36" s="1"/>
      <c r="Z36" s="1"/>
    </row>
    <row r="37" spans="1:26" s="1" customFormat="1" x14ac:dyDescent="0.25">
      <c r="A37" s="23" t="s">
        <v>130</v>
      </c>
      <c r="B37" s="24">
        <v>1676125</v>
      </c>
      <c r="C37" s="24">
        <v>60956</v>
      </c>
      <c r="D37" s="24">
        <v>520952</v>
      </c>
      <c r="E37" s="24">
        <v>1141243.5082789101</v>
      </c>
      <c r="F37" s="24">
        <v>154998.16610351941</v>
      </c>
      <c r="G37" s="24">
        <v>452466.59268614906</v>
      </c>
      <c r="H37" s="20"/>
      <c r="I37" s="20"/>
      <c r="K37" s="19"/>
      <c r="L37" s="20"/>
      <c r="M37" s="9"/>
      <c r="Q37" s="9"/>
      <c r="R37" s="5"/>
      <c r="T37" s="13"/>
      <c r="U37" s="13"/>
      <c r="W37" s="13"/>
      <c r="X37" s="13"/>
    </row>
    <row r="38" spans="1:26" x14ac:dyDescent="0.25">
      <c r="A38" s="43" t="s">
        <v>117</v>
      </c>
      <c r="B38" s="57">
        <v>0</v>
      </c>
      <c r="C38" s="57">
        <v>0</v>
      </c>
      <c r="D38" s="57">
        <v>0</v>
      </c>
      <c r="E38" s="24">
        <v>1282.6377878245733</v>
      </c>
      <c r="F38" s="24">
        <v>79.893947999994708</v>
      </c>
      <c r="G38" s="24">
        <v>544.73588652004128</v>
      </c>
      <c r="H38" s="20"/>
      <c r="I38" s="20"/>
      <c r="J38" s="1"/>
      <c r="K38" s="1"/>
      <c r="L38" s="1"/>
      <c r="M38" s="13"/>
      <c r="N38" s="1"/>
      <c r="O38" s="13"/>
      <c r="P38" s="1"/>
      <c r="Q38" s="13"/>
      <c r="R38" s="13"/>
      <c r="S38" s="1"/>
      <c r="T38" s="13"/>
      <c r="U38" s="13"/>
      <c r="V38" s="1"/>
      <c r="W38" s="13"/>
      <c r="X38" s="13"/>
      <c r="Y38" s="1"/>
      <c r="Z38" s="1"/>
    </row>
    <row r="39" spans="1:26" x14ac:dyDescent="0.25">
      <c r="A39" s="37" t="s">
        <v>33</v>
      </c>
      <c r="B39" s="34">
        <f t="shared" ref="B39:G39" si="1">SUM(B35:B38)</f>
        <v>3226069</v>
      </c>
      <c r="C39" s="34">
        <f t="shared" si="1"/>
        <v>134271</v>
      </c>
      <c r="D39" s="34">
        <f t="shared" si="1"/>
        <v>792638</v>
      </c>
      <c r="E39" s="34">
        <f t="shared" si="1"/>
        <v>2000615.3001456794</v>
      </c>
      <c r="F39" s="34">
        <f t="shared" si="1"/>
        <v>440318.54609468341</v>
      </c>
      <c r="G39" s="34">
        <f t="shared" si="1"/>
        <v>648555.44104747649</v>
      </c>
      <c r="H39" s="34">
        <v>340778.7089915853</v>
      </c>
      <c r="I39" s="34">
        <v>8702093.1600000001</v>
      </c>
      <c r="J39" s="77">
        <f>E39+F39+G39+H39-I39</f>
        <v>-5271825.1637205761</v>
      </c>
    </row>
    <row r="40" spans="1:26" x14ac:dyDescent="0.25">
      <c r="A40" s="8"/>
      <c r="B40" s="64"/>
      <c r="C40" s="8"/>
      <c r="D40" s="8"/>
      <c r="E40" s="8"/>
      <c r="F40" s="64"/>
      <c r="G40" s="64"/>
      <c r="H40" s="32"/>
      <c r="I40" s="8"/>
      <c r="J40" s="8"/>
    </row>
    <row r="41" spans="1:26" x14ac:dyDescent="0.25">
      <c r="A41" s="23" t="s">
        <v>116</v>
      </c>
      <c r="B41" s="57">
        <v>908290</v>
      </c>
      <c r="C41" s="57">
        <v>0</v>
      </c>
      <c r="D41" s="57">
        <v>153191</v>
      </c>
      <c r="E41" s="24">
        <v>650303.18133108481</v>
      </c>
      <c r="F41" s="24">
        <f>VLOOKUP($A41,[2]Programs!$D$13:$Z$48,23,FALSE)</f>
        <v>0</v>
      </c>
      <c r="G41" s="24">
        <v>139904.51254323221</v>
      </c>
      <c r="H41" s="97">
        <v>304369.63801883371</v>
      </c>
      <c r="I41" s="5">
        <v>1514889.95</v>
      </c>
      <c r="J41" s="78">
        <f>E41+F41+G41+H41-I41</f>
        <v>-420312.61810684926</v>
      </c>
      <c r="K41" s="19"/>
      <c r="L41" s="20"/>
      <c r="M41" s="9"/>
      <c r="N41" s="1"/>
      <c r="O41" s="1"/>
      <c r="P41" s="1"/>
      <c r="Q41" s="9"/>
      <c r="R41" s="5"/>
      <c r="S41" s="1"/>
      <c r="T41" s="13"/>
      <c r="U41" s="13"/>
      <c r="V41" s="1"/>
      <c r="W41" s="13"/>
      <c r="X41" s="13"/>
      <c r="Y41" s="1"/>
      <c r="Z41" s="1"/>
    </row>
    <row r="42" spans="1:26" x14ac:dyDescent="0.25">
      <c r="A42" s="23"/>
      <c r="B42" s="36"/>
      <c r="C42" s="36"/>
      <c r="D42" s="36"/>
      <c r="E42" s="9"/>
      <c r="F42" s="9"/>
      <c r="G42" s="9"/>
      <c r="H42" s="20"/>
      <c r="I42" s="20"/>
      <c r="J42" s="1"/>
      <c r="K42" s="19"/>
      <c r="L42" s="20"/>
      <c r="M42" s="9"/>
      <c r="N42" s="1"/>
      <c r="O42" s="1"/>
      <c r="P42" s="1"/>
      <c r="Q42" s="9"/>
      <c r="R42" s="5"/>
      <c r="S42" s="1"/>
      <c r="T42" s="13"/>
      <c r="U42" s="13"/>
      <c r="V42" s="1"/>
      <c r="W42" s="13"/>
      <c r="X42" s="13"/>
      <c r="Y42" s="1"/>
      <c r="Z42" s="1"/>
    </row>
    <row r="43" spans="1:26" x14ac:dyDescent="0.25">
      <c r="A43" s="44" t="str">
        <f>A21</f>
        <v>(A) Amounts identified in report filed in Case No. 2018-00370</v>
      </c>
      <c r="E43" s="3"/>
      <c r="F43" s="3"/>
      <c r="G43" s="3"/>
    </row>
    <row r="44" spans="1:26" x14ac:dyDescent="0.25">
      <c r="A44" s="43" t="str">
        <f>A22</f>
        <v>(B) Actual program expenditures, lost revenues (for this period and from prior period DSM measure installations), and shared savings for the period July 1, 2019 through June 30, 2020.</v>
      </c>
      <c r="F44" s="3"/>
      <c r="G44" s="3"/>
      <c r="H44" s="25"/>
      <c r="I44" s="2"/>
    </row>
    <row r="45" spans="1:26" x14ac:dyDescent="0.25">
      <c r="A45" s="44" t="s">
        <v>114</v>
      </c>
      <c r="F45" s="3"/>
      <c r="G45" s="3"/>
      <c r="I45" s="2"/>
    </row>
    <row r="46" spans="1:26" x14ac:dyDescent="0.25">
      <c r="A46" s="44" t="str">
        <f>"(D) "&amp;RIGHT(A26,LEN(A26)-4)</f>
        <v>(D) Revenues collected through the DSM Rider between July 1, 2019 and June 30, 2020.</v>
      </c>
      <c r="F46" s="3"/>
      <c r="G46" s="3"/>
      <c r="I46" s="2"/>
    </row>
    <row r="47" spans="1:26" x14ac:dyDescent="0.25">
      <c r="A47" s="44" t="s">
        <v>73</v>
      </c>
    </row>
    <row r="48" spans="1:26" x14ac:dyDescent="0.25">
      <c r="A48" s="49"/>
    </row>
    <row r="49" spans="1:1" x14ac:dyDescent="0.25">
      <c r="A49" s="28"/>
    </row>
  </sheetData>
  <phoneticPr fontId="2" type="noConversion"/>
  <pageMargins left="0.2" right="0.2" top="0.2" bottom="0.2" header="0.2" footer="0.2"/>
  <pageSetup paperSize="5" scale="59" orientation="landscape" r:id="rId1"/>
  <headerFooter alignWithMargins="0">
    <oddHeader>&amp;R&amp;"Times New Roman,Bold"KyPSC Case No. 2020-00371
STAFF-DR-01-010 Attachment
Appendix B
Page &amp;P of 7</oddHeader>
  </headerFooter>
  <ignoredErrors>
    <ignoredError sqref="B7:C7 M8:M9 L8:L9 D7:O7 B32:J32" numberStoredAsText="1"/>
    <ignoredError sqref="E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0"/>
  <sheetViews>
    <sheetView tabSelected="1" view="pageLayout" topLeftCell="B1" zoomScaleNormal="85" workbookViewId="0">
      <selection activeCell="M1" sqref="M1"/>
    </sheetView>
  </sheetViews>
  <sheetFormatPr defaultColWidth="9.26953125" defaultRowHeight="12.5" x14ac:dyDescent="0.25"/>
  <cols>
    <col min="1" max="1" width="56.54296875" style="49" customWidth="1"/>
    <col min="2" max="2" width="14" style="49" bestFit="1" customWidth="1"/>
    <col min="3" max="4" width="12.26953125" style="49" bestFit="1" customWidth="1"/>
    <col min="5" max="5" width="14" style="49" bestFit="1" customWidth="1"/>
    <col min="6" max="7" width="9.26953125" style="49"/>
    <col min="8" max="8" width="14.54296875" style="49" bestFit="1" customWidth="1"/>
    <col min="9" max="9" width="13" style="49" customWidth="1"/>
    <col min="10" max="10" width="13.26953125" style="49" customWidth="1"/>
    <col min="11" max="11" width="13.7265625" style="49" customWidth="1"/>
    <col min="12" max="12" width="9.26953125" style="49"/>
    <col min="13" max="13" width="11.54296875" style="49" bestFit="1" customWidth="1"/>
    <col min="14" max="14" width="9.26953125" style="49"/>
    <col min="15" max="15" width="14.54296875" style="51" customWidth="1"/>
    <col min="16" max="16" width="9.26953125" style="49"/>
    <col min="17" max="17" width="13" style="49" bestFit="1" customWidth="1"/>
    <col min="18" max="16384" width="9.26953125" style="49"/>
  </cols>
  <sheetData>
    <row r="1" spans="1:15" ht="13" x14ac:dyDescent="0.3">
      <c r="B1" s="49" t="s">
        <v>0</v>
      </c>
      <c r="K1" s="50"/>
    </row>
    <row r="3" spans="1:15" x14ac:dyDescent="0.25">
      <c r="B3" s="52" t="s">
        <v>136</v>
      </c>
    </row>
    <row r="6" spans="1:15" x14ac:dyDescent="0.25">
      <c r="B6" s="67" t="s">
        <v>118</v>
      </c>
    </row>
    <row r="8" spans="1:15" s="53" customFormat="1" ht="26.25" customHeight="1" x14ac:dyDescent="0.25">
      <c r="C8" s="53" t="s">
        <v>28</v>
      </c>
      <c r="D8" s="53" t="s">
        <v>29</v>
      </c>
      <c r="G8" s="68" t="s">
        <v>111</v>
      </c>
      <c r="H8" s="54"/>
      <c r="J8" s="126" t="s">
        <v>76</v>
      </c>
      <c r="K8" s="126"/>
    </row>
    <row r="9" spans="1:15" s="53" customFormat="1" ht="14" x14ac:dyDescent="0.4">
      <c r="B9" s="55" t="s">
        <v>30</v>
      </c>
      <c r="C9" s="55" t="s">
        <v>31</v>
      </c>
      <c r="D9" s="55" t="s">
        <v>32</v>
      </c>
      <c r="E9" s="55" t="s">
        <v>33</v>
      </c>
      <c r="G9" s="56" t="s">
        <v>17</v>
      </c>
      <c r="H9" s="56" t="s">
        <v>16</v>
      </c>
      <c r="I9" s="56" t="s">
        <v>60</v>
      </c>
      <c r="J9" s="56" t="s">
        <v>17</v>
      </c>
      <c r="K9" s="56" t="s">
        <v>61</v>
      </c>
    </row>
    <row r="10" spans="1:15" x14ac:dyDescent="0.25">
      <c r="B10" s="57"/>
      <c r="C10" s="57"/>
      <c r="D10" s="57"/>
      <c r="E10" s="57"/>
      <c r="O10" s="49"/>
    </row>
    <row r="11" spans="1:15" x14ac:dyDescent="0.25">
      <c r="A11" s="49" t="s">
        <v>98</v>
      </c>
      <c r="B11" s="57">
        <v>334353.7522258418</v>
      </c>
      <c r="C11" s="57">
        <v>15147.33850032073</v>
      </c>
      <c r="D11" s="57">
        <v>-12075.120054927629</v>
      </c>
      <c r="E11" s="57">
        <f t="shared" ref="E11:E17" si="0">SUM(B11:D11)</f>
        <v>337425.97067123489</v>
      </c>
      <c r="F11" s="58"/>
      <c r="G11" s="65">
        <v>1</v>
      </c>
      <c r="H11" s="65">
        <f>VLOOKUP($A11,'Page 7'!$A$7:$H$13,8,FALSE)</f>
        <v>0</v>
      </c>
      <c r="I11" s="59">
        <f t="shared" ref="I11:I17" si="1">G11*B11</f>
        <v>334353.7522258418</v>
      </c>
      <c r="J11" s="58">
        <f t="shared" ref="J11:J17" si="2">I11+D11+C11</f>
        <v>337425.97067123489</v>
      </c>
      <c r="K11" s="59">
        <f t="shared" ref="K11:K17" si="3">H11*B11</f>
        <v>0</v>
      </c>
      <c r="M11" s="60"/>
      <c r="N11" s="58"/>
      <c r="O11" s="49"/>
    </row>
    <row r="12" spans="1:15" x14ac:dyDescent="0.25">
      <c r="A12" s="49" t="s">
        <v>99</v>
      </c>
      <c r="B12" s="57">
        <f>492672.581331677+182101</f>
        <v>674773.58133167704</v>
      </c>
      <c r="C12" s="57">
        <v>13371.66952305532</v>
      </c>
      <c r="D12" s="57">
        <v>-23003.953743671191</v>
      </c>
      <c r="E12" s="57">
        <f t="shared" si="0"/>
        <v>665141.29711106117</v>
      </c>
      <c r="F12" s="58"/>
      <c r="G12" s="65">
        <f>VLOOKUP($A12,'Page 7'!$A$7:$H$13,7,FALSE)</f>
        <v>0.57702135573183222</v>
      </c>
      <c r="H12" s="65">
        <f>VLOOKUP($A12,'Page 7'!$A$7:$H$13,8,FALSE)</f>
        <v>0.42297864426816784</v>
      </c>
      <c r="I12" s="59">
        <f t="shared" si="1"/>
        <v>389358.76671202801</v>
      </c>
      <c r="J12" s="58">
        <f t="shared" si="2"/>
        <v>379726.48249141214</v>
      </c>
      <c r="K12" s="59">
        <f t="shared" si="3"/>
        <v>285414.81461964903</v>
      </c>
      <c r="M12" s="60"/>
      <c r="N12" s="58"/>
      <c r="O12" s="49"/>
    </row>
    <row r="13" spans="1:15" x14ac:dyDescent="0.25">
      <c r="A13" s="49" t="s">
        <v>97</v>
      </c>
      <c r="B13" s="57">
        <v>92858.019931493502</v>
      </c>
      <c r="C13" s="57">
        <v>59707.291290642621</v>
      </c>
      <c r="D13" s="57">
        <v>4925.4348360743525</v>
      </c>
      <c r="E13" s="57">
        <f>SUM(B13:D13)</f>
        <v>157490.7460582105</v>
      </c>
      <c r="F13" s="58"/>
      <c r="G13" s="65">
        <v>1</v>
      </c>
      <c r="H13" s="65">
        <f>VLOOKUP($A13,'Page 7'!$A$7:$H$13,8,FALSE)</f>
        <v>0</v>
      </c>
      <c r="I13" s="59">
        <f>G13*B13</f>
        <v>92858.019931493502</v>
      </c>
      <c r="J13" s="58">
        <f>I13+D13+C13</f>
        <v>157490.74605821047</v>
      </c>
      <c r="K13" s="59">
        <f t="shared" si="3"/>
        <v>0</v>
      </c>
      <c r="M13" s="60"/>
      <c r="N13" s="58"/>
      <c r="O13" s="49"/>
    </row>
    <row r="14" spans="1:15" x14ac:dyDescent="0.25">
      <c r="A14" s="49" t="s">
        <v>100</v>
      </c>
      <c r="B14" s="57">
        <v>259934.61477975885</v>
      </c>
      <c r="C14" s="57">
        <v>20468.683798260805</v>
      </c>
      <c r="D14" s="57">
        <v>6025.6477234882595</v>
      </c>
      <c r="E14" s="57">
        <f t="shared" si="0"/>
        <v>286428.94630150794</v>
      </c>
      <c r="F14" s="58"/>
      <c r="G14" s="65">
        <v>1</v>
      </c>
      <c r="H14" s="65">
        <f>VLOOKUP($A14,'Page 7'!$A$7:$H$13,8,FALSE)</f>
        <v>0</v>
      </c>
      <c r="I14" s="59">
        <f t="shared" si="1"/>
        <v>259934.61477975885</v>
      </c>
      <c r="J14" s="58">
        <f t="shared" si="2"/>
        <v>286428.94630150794</v>
      </c>
      <c r="K14" s="59">
        <f t="shared" si="3"/>
        <v>0</v>
      </c>
      <c r="M14" s="60"/>
      <c r="N14" s="58"/>
      <c r="O14" s="49"/>
    </row>
    <row r="15" spans="1:15" x14ac:dyDescent="0.25">
      <c r="A15" s="49" t="s">
        <v>96</v>
      </c>
      <c r="B15" s="57">
        <v>1009464.3672511739</v>
      </c>
      <c r="C15" s="57">
        <v>137430.0843217184</v>
      </c>
      <c r="D15" s="57">
        <v>36691.460222833339</v>
      </c>
      <c r="E15" s="57">
        <f t="shared" si="0"/>
        <v>1183585.9117957256</v>
      </c>
      <c r="F15" s="58"/>
      <c r="G15" s="65">
        <v>1</v>
      </c>
      <c r="H15" s="65">
        <f>VLOOKUP($A15,'Page 7'!$A$7:$H$13,8,FALSE)</f>
        <v>0</v>
      </c>
      <c r="I15" s="59">
        <f t="shared" si="1"/>
        <v>1009464.3672511739</v>
      </c>
      <c r="J15" s="58">
        <f t="shared" si="2"/>
        <v>1183585.9117957256</v>
      </c>
      <c r="K15" s="59">
        <f t="shared" si="3"/>
        <v>0</v>
      </c>
      <c r="M15" s="60"/>
      <c r="N15" s="58"/>
      <c r="O15" s="49"/>
    </row>
    <row r="16" spans="1:15" x14ac:dyDescent="0.25">
      <c r="A16" s="49" t="s">
        <v>115</v>
      </c>
      <c r="B16" s="57">
        <v>702947.21395612636</v>
      </c>
      <c r="C16" s="57">
        <v>0</v>
      </c>
      <c r="D16" s="57">
        <v>113198.70683430597</v>
      </c>
      <c r="E16" s="57">
        <f t="shared" ref="E16" si="4">SUM(B16:D16)</f>
        <v>816145.92079043237</v>
      </c>
      <c r="G16" s="65">
        <v>1</v>
      </c>
      <c r="H16" s="65">
        <f>VLOOKUP($A16,'Page 7'!$A$7:$H$13,8,FALSE)</f>
        <v>0</v>
      </c>
      <c r="I16" s="59">
        <f t="shared" ref="I16" si="5">G16*B16</f>
        <v>702947.21395612636</v>
      </c>
      <c r="J16" s="58">
        <f t="shared" ref="J16" si="6">I16+D16+C16</f>
        <v>816145.92079043237</v>
      </c>
      <c r="K16" s="59">
        <f t="shared" ref="K16" si="7">H16*B16</f>
        <v>0</v>
      </c>
      <c r="M16" s="60"/>
      <c r="N16" s="58"/>
      <c r="O16" s="49"/>
    </row>
    <row r="17" spans="1:15" x14ac:dyDescent="0.25">
      <c r="A17" s="49" t="s">
        <v>143</v>
      </c>
      <c r="B17" s="57">
        <v>197549</v>
      </c>
      <c r="C17" s="57">
        <v>0</v>
      </c>
      <c r="D17" s="57">
        <v>0</v>
      </c>
      <c r="E17" s="57">
        <f t="shared" si="0"/>
        <v>197549</v>
      </c>
      <c r="G17" s="65">
        <v>1</v>
      </c>
      <c r="H17" s="65">
        <v>0</v>
      </c>
      <c r="I17" s="59">
        <f t="shared" si="1"/>
        <v>197549</v>
      </c>
      <c r="J17" s="58">
        <f t="shared" si="2"/>
        <v>197549</v>
      </c>
      <c r="K17" s="59">
        <f t="shared" si="3"/>
        <v>0</v>
      </c>
      <c r="M17" s="60"/>
      <c r="N17" s="58"/>
      <c r="O17" s="49"/>
    </row>
    <row r="18" spans="1:15" x14ac:dyDescent="0.25">
      <c r="B18" s="57"/>
      <c r="C18" s="57"/>
      <c r="D18" s="60"/>
      <c r="E18" s="57"/>
      <c r="F18" s="58"/>
      <c r="G18" s="61"/>
      <c r="H18" s="61"/>
      <c r="I18" s="59"/>
      <c r="J18" s="58"/>
      <c r="K18" s="59"/>
      <c r="O18" s="49"/>
    </row>
    <row r="19" spans="1:15" x14ac:dyDescent="0.25">
      <c r="A19" s="49" t="s">
        <v>34</v>
      </c>
      <c r="B19" s="57">
        <f>SUM(B11:B17)</f>
        <v>3271880.5494760717</v>
      </c>
      <c r="C19" s="57">
        <f>SUM(C11:C17)</f>
        <v>246125.06743399787</v>
      </c>
      <c r="D19" s="57">
        <f>SUM(D11:D17)</f>
        <v>125762.17581810309</v>
      </c>
      <c r="E19" s="57">
        <f>SUM(E11:E17)</f>
        <v>3643767.7927281726</v>
      </c>
      <c r="I19" s="57">
        <f>SUM(I11:I17)</f>
        <v>2986465.7348564225</v>
      </c>
      <c r="J19" s="57">
        <f>SUM(J11:J17)</f>
        <v>3358352.9781085239</v>
      </c>
      <c r="K19" s="57">
        <f>SUM(K11:K17)</f>
        <v>285414.81461964903</v>
      </c>
      <c r="O19" s="49"/>
    </row>
    <row r="20" spans="1:15" x14ac:dyDescent="0.25">
      <c r="B20" s="57"/>
      <c r="C20" s="57"/>
      <c r="D20" s="57"/>
      <c r="E20" s="57"/>
      <c r="I20" s="59"/>
      <c r="J20" s="58"/>
      <c r="K20" s="58"/>
      <c r="O20" s="49"/>
    </row>
    <row r="21" spans="1:15" x14ac:dyDescent="0.25">
      <c r="B21" s="57"/>
      <c r="C21" s="57"/>
      <c r="D21" s="57"/>
      <c r="E21" s="57"/>
      <c r="I21" s="59"/>
      <c r="J21" s="58"/>
      <c r="K21" s="58"/>
      <c r="O21" s="49"/>
    </row>
    <row r="22" spans="1:15" x14ac:dyDescent="0.25">
      <c r="B22" s="66" t="s">
        <v>119</v>
      </c>
      <c r="C22" s="52"/>
      <c r="D22" s="52"/>
      <c r="E22" s="52"/>
      <c r="I22" s="59"/>
      <c r="O22" s="49"/>
    </row>
    <row r="23" spans="1:15" x14ac:dyDescent="0.25">
      <c r="B23" s="52"/>
      <c r="C23" s="52"/>
      <c r="D23" s="52"/>
      <c r="E23" s="52"/>
      <c r="I23" s="59"/>
      <c r="O23" s="49"/>
    </row>
    <row r="24" spans="1:15" ht="29.25" customHeight="1" x14ac:dyDescent="0.25">
      <c r="B24" s="52"/>
      <c r="C24" s="62" t="s">
        <v>28</v>
      </c>
      <c r="D24" s="62" t="s">
        <v>29</v>
      </c>
      <c r="E24" s="52"/>
      <c r="G24" s="68" t="s">
        <v>111</v>
      </c>
      <c r="H24" s="54"/>
      <c r="I24" s="53"/>
      <c r="J24" s="126" t="s">
        <v>76</v>
      </c>
      <c r="K24" s="126"/>
      <c r="O24" s="49"/>
    </row>
    <row r="25" spans="1:15" ht="14" x14ac:dyDescent="0.4">
      <c r="B25" s="56" t="s">
        <v>30</v>
      </c>
      <c r="C25" s="56" t="s">
        <v>31</v>
      </c>
      <c r="D25" s="56" t="s">
        <v>32</v>
      </c>
      <c r="E25" s="56" t="s">
        <v>33</v>
      </c>
      <c r="G25" s="56" t="s">
        <v>17</v>
      </c>
      <c r="H25" s="56" t="s">
        <v>16</v>
      </c>
      <c r="I25" s="42" t="str">
        <f>I9</f>
        <v>Electric Costs</v>
      </c>
      <c r="J25" s="56" t="s">
        <v>17</v>
      </c>
      <c r="K25" s="56" t="s">
        <v>16</v>
      </c>
      <c r="O25" s="49"/>
    </row>
    <row r="26" spans="1:15" x14ac:dyDescent="0.25">
      <c r="B26" s="57"/>
      <c r="C26" s="57"/>
      <c r="D26" s="57"/>
      <c r="E26" s="57"/>
      <c r="G26" s="61"/>
      <c r="H26" s="61"/>
      <c r="I26" s="59"/>
      <c r="J26" s="58"/>
      <c r="K26" s="53"/>
    </row>
    <row r="27" spans="1:15" x14ac:dyDescent="0.25">
      <c r="A27" s="52" t="s">
        <v>112</v>
      </c>
      <c r="B27" s="57">
        <v>827238.28082721774</v>
      </c>
      <c r="C27" s="57">
        <v>40699.48761980619</v>
      </c>
      <c r="D27" s="57">
        <v>105787.02699304867</v>
      </c>
      <c r="E27" s="57">
        <f>SUM(B27:D27)</f>
        <v>973724.79544007266</v>
      </c>
      <c r="G27" s="61">
        <v>1</v>
      </c>
      <c r="H27" s="61">
        <v>0</v>
      </c>
      <c r="I27" s="59">
        <f>G27*B27</f>
        <v>827238.28082721774</v>
      </c>
      <c r="J27" s="58">
        <f>I27+D27+C27</f>
        <v>973724.79544007254</v>
      </c>
      <c r="K27" s="53" t="s">
        <v>20</v>
      </c>
      <c r="O27" s="49"/>
    </row>
    <row r="28" spans="1:15" x14ac:dyDescent="0.25">
      <c r="A28" s="49" t="s">
        <v>101</v>
      </c>
      <c r="B28" s="57">
        <v>938180.49698205898</v>
      </c>
      <c r="C28" s="57">
        <v>78053.416805323053</v>
      </c>
      <c r="D28" s="57">
        <v>233545.50771970616</v>
      </c>
      <c r="E28" s="57">
        <f>SUM(B28:D28)</f>
        <v>1249779.4215070882</v>
      </c>
      <c r="G28" s="61">
        <f>1-H28</f>
        <v>1</v>
      </c>
      <c r="H28" s="61">
        <v>0</v>
      </c>
      <c r="I28" s="59">
        <f>G28*B28</f>
        <v>938180.49698205898</v>
      </c>
      <c r="J28" s="58">
        <f t="shared" ref="J28:J30" si="8">I28+D28+C28</f>
        <v>1249779.4215070882</v>
      </c>
      <c r="K28" s="53" t="s">
        <v>20</v>
      </c>
    </row>
    <row r="29" spans="1:15" x14ac:dyDescent="0.25">
      <c r="A29" s="52" t="s">
        <v>123</v>
      </c>
      <c r="B29" s="57">
        <v>504974.96980185306</v>
      </c>
      <c r="C29" s="57">
        <v>43088.30126110492</v>
      </c>
      <c r="D29" s="57">
        <v>145367.93229419561</v>
      </c>
      <c r="E29" s="57">
        <f t="shared" ref="E29" si="9">SUM(B29:D29)</f>
        <v>693431.20335715357</v>
      </c>
      <c r="G29" s="61">
        <f>1-H29</f>
        <v>1</v>
      </c>
      <c r="H29" s="61">
        <v>0</v>
      </c>
      <c r="I29" s="59">
        <f t="shared" ref="I29:I30" si="10">G29*B29</f>
        <v>504974.96980185306</v>
      </c>
      <c r="J29" s="58">
        <f t="shared" si="8"/>
        <v>693431.20335715357</v>
      </c>
      <c r="K29" s="53" t="s">
        <v>20</v>
      </c>
    </row>
    <row r="30" spans="1:15" x14ac:dyDescent="0.25">
      <c r="A30" s="49" t="s">
        <v>116</v>
      </c>
      <c r="B30" s="57">
        <v>857738.20816039469</v>
      </c>
      <c r="C30" s="57">
        <v>0</v>
      </c>
      <c r="D30" s="57">
        <v>107427.62395990845</v>
      </c>
      <c r="E30" s="57">
        <f>SUM(B30:D30)</f>
        <v>965165.83212030318</v>
      </c>
      <c r="G30" s="61">
        <v>1</v>
      </c>
      <c r="H30" s="61">
        <v>0</v>
      </c>
      <c r="I30" s="59">
        <f t="shared" si="10"/>
        <v>857738.20816039469</v>
      </c>
      <c r="J30" s="58">
        <f t="shared" si="8"/>
        <v>965165.83212030318</v>
      </c>
      <c r="K30" s="53" t="s">
        <v>20</v>
      </c>
      <c r="O30" s="49"/>
    </row>
    <row r="31" spans="1:15" x14ac:dyDescent="0.25">
      <c r="B31" s="57"/>
      <c r="C31" s="57"/>
      <c r="D31" s="57"/>
      <c r="E31" s="57"/>
      <c r="I31" s="58"/>
      <c r="O31" s="49"/>
    </row>
    <row r="32" spans="1:15" x14ac:dyDescent="0.25">
      <c r="A32" s="52" t="s">
        <v>34</v>
      </c>
      <c r="B32" s="57">
        <f>SUM(B27:B30)</f>
        <v>3128131.9557715245</v>
      </c>
      <c r="C32" s="57">
        <f>SUM(C27:C30)</f>
        <v>161841.20568623417</v>
      </c>
      <c r="D32" s="57">
        <f>SUM(D27:D30)</f>
        <v>592128.0909668589</v>
      </c>
      <c r="E32" s="57">
        <f>SUM(E27:E30)</f>
        <v>3882101.2524246173</v>
      </c>
      <c r="I32" s="57">
        <f>SUM(I27:I30)</f>
        <v>3128131.9557715245</v>
      </c>
      <c r="J32" s="57">
        <f>SUM(J27:J30)</f>
        <v>3882101.2524246173</v>
      </c>
      <c r="K32" s="53" t="s">
        <v>20</v>
      </c>
      <c r="O32" s="49"/>
    </row>
    <row r="33" spans="1:15" x14ac:dyDescent="0.25">
      <c r="B33" s="57"/>
      <c r="C33" s="57"/>
      <c r="D33" s="57"/>
      <c r="E33" s="57"/>
      <c r="I33" s="58"/>
      <c r="J33" s="58"/>
      <c r="O33" s="49"/>
    </row>
    <row r="34" spans="1:15" x14ac:dyDescent="0.25">
      <c r="A34" s="63" t="s">
        <v>86</v>
      </c>
      <c r="B34" s="60">
        <f>SUM(B19,B32)</f>
        <v>6400012.5052475967</v>
      </c>
      <c r="C34" s="60">
        <f>SUM(C19,C32)</f>
        <v>407966.27312023204</v>
      </c>
      <c r="D34" s="60">
        <f>SUM(D19,D32)</f>
        <v>717890.26678496203</v>
      </c>
      <c r="E34" s="60">
        <f>SUM(E19,E32)</f>
        <v>7525869.0451527899</v>
      </c>
      <c r="O34" s="49"/>
    </row>
    <row r="35" spans="1:15" x14ac:dyDescent="0.25">
      <c r="C35" s="58"/>
      <c r="D35" s="58"/>
      <c r="O35" s="49"/>
    </row>
    <row r="37" spans="1:15" x14ac:dyDescent="0.25">
      <c r="B37" s="52"/>
      <c r="C37" s="52"/>
      <c r="D37" s="52"/>
      <c r="E37" s="52"/>
      <c r="O37" s="49"/>
    </row>
    <row r="38" spans="1:15" x14ac:dyDescent="0.25">
      <c r="A38" s="52" t="s">
        <v>144</v>
      </c>
      <c r="O38" s="49"/>
    </row>
    <row r="39" spans="1:15" x14ac:dyDescent="0.25">
      <c r="A39" s="52" t="s">
        <v>126</v>
      </c>
      <c r="O39" s="49"/>
    </row>
    <row r="40" spans="1:15" x14ac:dyDescent="0.25">
      <c r="A40" s="49" t="s">
        <v>122</v>
      </c>
    </row>
  </sheetData>
  <mergeCells count="2">
    <mergeCell ref="J8:K8"/>
    <mergeCell ref="J24:K24"/>
  </mergeCells>
  <phoneticPr fontId="2" type="noConversion"/>
  <pageMargins left="0.2" right="0.2" top="0.2" bottom="0.2" header="0.2" footer="0.2"/>
  <pageSetup paperSize="5" scale="97" orientation="landscape" r:id="rId1"/>
  <headerFooter alignWithMargins="0">
    <oddHeader>&amp;R&amp;"Times New Roman,Bold"KyPSC Case No. 2020-00371
STAFF-DR-01-010 Attachment
Appendix B
Page &amp;P of 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7"/>
  <sheetViews>
    <sheetView tabSelected="1" view="pageLayout" zoomScaleNormal="80" workbookViewId="0">
      <selection activeCell="M1" sqref="M1"/>
    </sheetView>
  </sheetViews>
  <sheetFormatPr defaultColWidth="9.26953125" defaultRowHeight="12.5" x14ac:dyDescent="0.25"/>
  <cols>
    <col min="1" max="1" width="9.26953125" style="4"/>
    <col min="2" max="2" width="28.54296875" style="4" customWidth="1"/>
    <col min="3" max="3" width="17.54296875" style="4" customWidth="1"/>
    <col min="4" max="5" width="14.26953125" style="4" customWidth="1"/>
    <col min="6" max="7" width="9.26953125" style="4"/>
    <col min="8" max="8" width="10.26953125" style="4" customWidth="1"/>
    <col min="9" max="11" width="9.26953125" style="4"/>
    <col min="12" max="12" width="10.7265625" style="4" customWidth="1"/>
    <col min="13" max="13" width="9.26953125" style="4"/>
    <col min="14" max="14" width="11.26953125" style="4" bestFit="1" customWidth="1"/>
    <col min="15" max="16384" width="9.26953125" style="4"/>
  </cols>
  <sheetData>
    <row r="1" spans="1:14" ht="13" x14ac:dyDescent="0.3">
      <c r="A1" s="43"/>
      <c r="B1" s="43" t="str">
        <f>'Page 1'!E3</f>
        <v xml:space="preserve">                      Kentucky DSM Rider</v>
      </c>
      <c r="C1" s="43"/>
      <c r="D1" s="31"/>
      <c r="E1" s="43"/>
      <c r="F1" s="43"/>
      <c r="G1" s="43"/>
      <c r="H1" s="43"/>
    </row>
    <row r="2" spans="1:14" x14ac:dyDescent="0.25">
      <c r="A2" s="43"/>
      <c r="B2" s="43"/>
      <c r="C2" s="43"/>
      <c r="D2" s="43"/>
      <c r="E2" s="43"/>
      <c r="F2" s="43"/>
      <c r="G2" s="43"/>
      <c r="H2" s="43"/>
    </row>
    <row r="3" spans="1:14" x14ac:dyDescent="0.25">
      <c r="A3" s="43"/>
      <c r="B3" s="43" t="s">
        <v>79</v>
      </c>
      <c r="C3" s="43"/>
      <c r="D3" s="43"/>
      <c r="E3" s="43"/>
      <c r="F3" s="43"/>
      <c r="G3" s="43"/>
      <c r="H3" s="43"/>
    </row>
    <row r="4" spans="1:14" x14ac:dyDescent="0.25">
      <c r="A4" s="43"/>
      <c r="B4" s="44" t="s">
        <v>74</v>
      </c>
      <c r="C4" s="43"/>
      <c r="D4" s="43"/>
      <c r="E4" s="43"/>
      <c r="F4" s="43"/>
      <c r="G4" s="43"/>
      <c r="H4" s="43"/>
    </row>
    <row r="5" spans="1:14" x14ac:dyDescent="0.25">
      <c r="A5" s="43"/>
      <c r="B5" s="43" t="s">
        <v>92</v>
      </c>
      <c r="C5" s="43"/>
      <c r="D5" s="43"/>
      <c r="E5" s="43"/>
      <c r="F5" s="43"/>
      <c r="G5" s="43"/>
      <c r="H5" s="43"/>
    </row>
    <row r="6" spans="1:14" x14ac:dyDescent="0.25">
      <c r="A6" s="43"/>
      <c r="B6" s="43"/>
      <c r="C6" s="43"/>
      <c r="D6" s="43"/>
      <c r="E6" s="43"/>
      <c r="F6" s="43"/>
      <c r="G6" s="43"/>
      <c r="H6" s="43"/>
    </row>
    <row r="7" spans="1:14" s="43" customFormat="1" x14ac:dyDescent="0.25">
      <c r="B7" s="44" t="s">
        <v>135</v>
      </c>
    </row>
    <row r="8" spans="1:14" x14ac:dyDescent="0.25">
      <c r="A8" s="43"/>
      <c r="B8" s="43"/>
      <c r="C8" s="43"/>
      <c r="D8" s="43"/>
      <c r="E8" s="43"/>
      <c r="F8" s="43"/>
      <c r="G8" s="43"/>
      <c r="H8" s="43"/>
    </row>
    <row r="9" spans="1:14" x14ac:dyDescent="0.25">
      <c r="A9" s="43"/>
      <c r="B9" s="43"/>
      <c r="C9" s="43"/>
      <c r="D9" s="43"/>
      <c r="E9" s="43"/>
      <c r="F9" s="43"/>
      <c r="G9" s="43"/>
      <c r="H9" s="43"/>
    </row>
    <row r="10" spans="1:14" x14ac:dyDescent="0.25">
      <c r="A10" s="43"/>
      <c r="B10" s="43"/>
      <c r="C10" s="43"/>
      <c r="D10" s="43" t="s">
        <v>35</v>
      </c>
      <c r="E10" s="43"/>
      <c r="F10" s="43"/>
      <c r="G10" s="43"/>
      <c r="H10" s="43"/>
    </row>
    <row r="11" spans="1:14" x14ac:dyDescent="0.25">
      <c r="A11" s="43"/>
      <c r="B11" s="43"/>
      <c r="C11" s="43"/>
      <c r="D11" s="43" t="s">
        <v>36</v>
      </c>
      <c r="E11" s="43"/>
      <c r="F11" s="43"/>
      <c r="G11" s="43"/>
      <c r="H11" s="43"/>
    </row>
    <row r="12" spans="1:14" x14ac:dyDescent="0.25">
      <c r="A12" s="43"/>
      <c r="B12" s="26" t="s">
        <v>37</v>
      </c>
      <c r="C12" s="43"/>
      <c r="D12" s="43"/>
      <c r="E12" s="43"/>
      <c r="F12" s="43"/>
      <c r="G12" s="43"/>
      <c r="H12" s="43"/>
    </row>
    <row r="13" spans="1:14" x14ac:dyDescent="0.25">
      <c r="A13" s="43"/>
      <c r="B13" s="43"/>
      <c r="C13" s="43"/>
      <c r="D13" s="43"/>
      <c r="E13" s="43"/>
      <c r="F13" s="43"/>
      <c r="G13" s="43"/>
      <c r="H13" s="43"/>
    </row>
    <row r="14" spans="1:14" x14ac:dyDescent="0.25">
      <c r="A14" s="43"/>
      <c r="B14" s="43" t="s">
        <v>38</v>
      </c>
      <c r="C14" s="43"/>
      <c r="D14" s="21">
        <f>'Page 2'!J19</f>
        <v>3358352.9781085239</v>
      </c>
      <c r="E14" s="43"/>
      <c r="F14" s="43"/>
      <c r="G14" s="43"/>
      <c r="H14" s="43"/>
    </row>
    <row r="15" spans="1:14" x14ac:dyDescent="0.25">
      <c r="A15" s="43"/>
      <c r="B15" s="43"/>
      <c r="C15" s="43"/>
      <c r="D15" s="2"/>
      <c r="E15" s="43"/>
      <c r="F15" s="43"/>
      <c r="G15" s="43"/>
      <c r="H15" s="43"/>
    </row>
    <row r="16" spans="1:14" x14ac:dyDescent="0.25">
      <c r="A16" s="43"/>
      <c r="B16" s="43" t="s">
        <v>82</v>
      </c>
      <c r="C16" s="43"/>
      <c r="D16" s="2"/>
      <c r="E16" s="43"/>
      <c r="F16" s="43"/>
      <c r="G16" s="43"/>
      <c r="H16" s="6"/>
      <c r="I16" s="6"/>
      <c r="J16" s="6"/>
      <c r="K16" s="6"/>
      <c r="L16" s="7"/>
      <c r="N16" s="6"/>
    </row>
    <row r="17" spans="1:14" x14ac:dyDescent="0.25">
      <c r="A17" s="43"/>
      <c r="B17" s="43" t="s">
        <v>39</v>
      </c>
      <c r="C17" s="43"/>
      <c r="D17" s="2">
        <f>'Page 2'!J32-'Page 2'!J30</f>
        <v>2916935.4203043142</v>
      </c>
      <c r="E17" s="43"/>
      <c r="F17" s="43"/>
      <c r="G17" s="43"/>
      <c r="H17" s="43"/>
      <c r="N17" s="7"/>
    </row>
    <row r="18" spans="1:14" x14ac:dyDescent="0.25">
      <c r="A18" s="43"/>
      <c r="B18" s="43"/>
      <c r="C18" s="43"/>
      <c r="D18" s="2"/>
      <c r="E18" s="43"/>
      <c r="F18" s="43"/>
      <c r="G18" s="43"/>
      <c r="H18" s="43"/>
    </row>
    <row r="19" spans="1:14" x14ac:dyDescent="0.25">
      <c r="A19" s="43"/>
      <c r="B19" s="43" t="s">
        <v>84</v>
      </c>
      <c r="C19" s="43"/>
      <c r="D19" s="2"/>
      <c r="E19" s="43"/>
      <c r="F19" s="43"/>
      <c r="G19" s="43"/>
      <c r="H19" s="6"/>
    </row>
    <row r="20" spans="1:14" x14ac:dyDescent="0.25">
      <c r="A20" s="43"/>
      <c r="B20" s="43" t="s">
        <v>83</v>
      </c>
      <c r="C20" s="43"/>
      <c r="D20" s="2">
        <f>'Page 2'!J30</f>
        <v>965165.83212030318</v>
      </c>
      <c r="E20" s="43"/>
      <c r="F20" s="43"/>
      <c r="G20" s="43"/>
      <c r="H20" s="43"/>
    </row>
    <row r="21" spans="1:14" x14ac:dyDescent="0.25">
      <c r="A21" s="43"/>
      <c r="B21" s="43"/>
      <c r="C21" s="43"/>
      <c r="D21" s="2"/>
      <c r="E21" s="43"/>
      <c r="F21" s="43"/>
      <c r="G21" s="43"/>
      <c r="H21" s="43"/>
    </row>
    <row r="22" spans="1:14" x14ac:dyDescent="0.25">
      <c r="A22" s="43"/>
      <c r="B22" s="26" t="s">
        <v>40</v>
      </c>
      <c r="C22" s="43"/>
      <c r="D22" s="2"/>
      <c r="E22" s="43"/>
      <c r="F22" s="43"/>
      <c r="G22" s="43"/>
      <c r="H22" s="43"/>
    </row>
    <row r="23" spans="1:14" x14ac:dyDescent="0.25">
      <c r="A23" s="43"/>
      <c r="B23" s="43" t="s">
        <v>38</v>
      </c>
      <c r="C23" s="43"/>
      <c r="D23" s="2">
        <f>'Page 2'!K19</f>
        <v>285414.81461964903</v>
      </c>
      <c r="E23" s="43"/>
      <c r="F23" s="43"/>
      <c r="G23" s="43"/>
      <c r="H23" s="43"/>
    </row>
    <row r="24" spans="1:14" x14ac:dyDescent="0.25">
      <c r="A24" s="43"/>
      <c r="B24" s="43"/>
      <c r="C24" s="43"/>
      <c r="D24" s="43"/>
      <c r="E24" s="43"/>
      <c r="F24" s="43"/>
      <c r="G24" s="43"/>
      <c r="H24" s="43"/>
    </row>
    <row r="25" spans="1:14" x14ac:dyDescent="0.25">
      <c r="A25" s="43"/>
      <c r="B25" s="43"/>
      <c r="C25" s="43"/>
      <c r="D25" s="43"/>
      <c r="E25" s="43"/>
      <c r="F25" s="43"/>
      <c r="G25" s="43"/>
      <c r="H25" s="43"/>
    </row>
    <row r="26" spans="1:14" x14ac:dyDescent="0.25">
      <c r="A26" s="43"/>
      <c r="B26" s="44" t="s">
        <v>127</v>
      </c>
      <c r="C26" s="43"/>
      <c r="D26" s="43"/>
      <c r="E26" s="43"/>
      <c r="F26" s="43"/>
      <c r="G26" s="43"/>
      <c r="H26" s="43"/>
    </row>
    <row r="27" spans="1:14" x14ac:dyDescent="0.25">
      <c r="A27" s="43"/>
      <c r="B27" s="43"/>
      <c r="C27" s="43"/>
      <c r="D27" s="43"/>
      <c r="E27" s="43"/>
      <c r="F27" s="43"/>
      <c r="G27" s="43"/>
      <c r="H27" s="43"/>
    </row>
  </sheetData>
  <phoneticPr fontId="2" type="noConversion"/>
  <pageMargins left="0.2" right="0.2" top="0.2" bottom="0.2" header="0.2" footer="0.2"/>
  <pageSetup paperSize="5" orientation="landscape" r:id="rId1"/>
  <headerFooter alignWithMargins="0">
    <oddHeader>&amp;R&amp;"Times New Roman,Bold"KyPSC Case No. 2020-00371
STAFF-DR-01-010 Attachment
Appendix B
Page &amp;P of 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6"/>
  <sheetViews>
    <sheetView tabSelected="1" view="pageLayout" zoomScaleNormal="80" workbookViewId="0">
      <selection activeCell="M1" sqref="M1"/>
    </sheetView>
  </sheetViews>
  <sheetFormatPr defaultColWidth="9.26953125" defaultRowHeight="12.5" x14ac:dyDescent="0.25"/>
  <cols>
    <col min="1" max="1" width="9.26953125" style="4"/>
    <col min="2" max="2" width="30.7265625" style="4" customWidth="1"/>
    <col min="3" max="3" width="16.26953125" style="4" customWidth="1"/>
    <col min="4" max="4" width="12.7265625" style="4" bestFit="1" customWidth="1"/>
    <col min="5" max="5" width="15.26953125" style="4" bestFit="1" customWidth="1"/>
    <col min="6" max="6" width="10.453125" style="4" customWidth="1"/>
    <col min="7" max="7" width="11.453125" style="4" customWidth="1"/>
    <col min="8" max="10" width="9.26953125" style="4"/>
    <col min="11" max="11" width="11.26953125" style="4" customWidth="1"/>
    <col min="12" max="16384" width="9.26953125" style="4"/>
  </cols>
  <sheetData>
    <row r="1" spans="1:14" ht="13" x14ac:dyDescent="0.3">
      <c r="A1" s="43"/>
      <c r="B1" s="43" t="str">
        <f>'Page 1'!E3</f>
        <v xml:space="preserve">                      Kentucky DSM Rider</v>
      </c>
      <c r="C1" s="31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43"/>
      <c r="B3" s="43" t="str">
        <f>'Page 3'!B3</f>
        <v>Duke Energy Kentucky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25">
      <c r="A4" s="43"/>
      <c r="B4" s="44" t="s">
        <v>74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x14ac:dyDescent="0.25">
      <c r="A5" s="43"/>
      <c r="B5" s="43" t="s">
        <v>41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x14ac:dyDescent="0.25">
      <c r="A8" s="43"/>
      <c r="B8" s="43" t="s">
        <v>42</v>
      </c>
      <c r="C8" s="43">
        <v>2021</v>
      </c>
      <c r="D8" s="43"/>
      <c r="E8" s="44"/>
      <c r="F8" s="43"/>
      <c r="G8" s="43"/>
      <c r="H8" s="43"/>
      <c r="I8" s="43"/>
      <c r="J8" s="43"/>
      <c r="K8" s="43"/>
      <c r="L8" s="43"/>
      <c r="M8" s="43"/>
      <c r="N8" s="43"/>
    </row>
    <row r="9" spans="1:14" x14ac:dyDescent="0.25">
      <c r="A9" s="43"/>
      <c r="B9" s="43"/>
      <c r="C9" s="43"/>
      <c r="D9" s="43"/>
      <c r="E9" s="44"/>
      <c r="F9" s="43"/>
      <c r="G9" s="43"/>
      <c r="H9" s="43"/>
      <c r="I9" s="43"/>
      <c r="J9" s="43"/>
      <c r="K9" s="43"/>
      <c r="L9" s="43"/>
      <c r="M9" s="43"/>
      <c r="N9" s="43"/>
    </row>
    <row r="10" spans="1:14" x14ac:dyDescent="0.25">
      <c r="A10" s="43"/>
      <c r="B10" s="43" t="s">
        <v>87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x14ac:dyDescent="0.25">
      <c r="A12" s="43"/>
      <c r="B12" s="43" t="s">
        <v>45</v>
      </c>
      <c r="C12" s="6">
        <v>1487109844.9957395</v>
      </c>
      <c r="D12" s="43"/>
      <c r="E12" s="6"/>
      <c r="F12" s="44"/>
      <c r="G12" s="6"/>
      <c r="H12" s="6"/>
      <c r="I12" s="6"/>
      <c r="J12" s="6"/>
      <c r="K12" s="7"/>
      <c r="L12" s="43"/>
      <c r="M12" s="6"/>
      <c r="N12" s="43"/>
    </row>
    <row r="13" spans="1:14" x14ac:dyDescent="0.25">
      <c r="A13" s="43"/>
      <c r="B13" s="43"/>
      <c r="C13" s="6"/>
      <c r="D13" s="43"/>
      <c r="E13" s="43"/>
      <c r="F13" s="43"/>
      <c r="G13" s="43"/>
      <c r="H13" s="43"/>
      <c r="I13" s="43"/>
      <c r="J13" s="43"/>
      <c r="K13" s="43"/>
      <c r="L13" s="43"/>
      <c r="M13" s="7"/>
      <c r="N13" s="43"/>
    </row>
    <row r="14" spans="1:14" x14ac:dyDescent="0.25">
      <c r="A14" s="43"/>
      <c r="B14" s="43" t="s">
        <v>43</v>
      </c>
      <c r="C14" s="6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x14ac:dyDescent="0.25">
      <c r="A15" s="43"/>
      <c r="B15" s="43" t="s">
        <v>44</v>
      </c>
      <c r="C15" s="7">
        <v>2237356418.0508285</v>
      </c>
      <c r="D15" s="43"/>
      <c r="E15" s="43"/>
      <c r="F15" s="44"/>
      <c r="G15" s="6"/>
      <c r="H15" s="43"/>
      <c r="I15" s="43"/>
      <c r="J15" s="43"/>
      <c r="K15" s="43"/>
      <c r="L15" s="43"/>
      <c r="M15" s="43"/>
      <c r="N15" s="43"/>
    </row>
    <row r="16" spans="1:14" x14ac:dyDescent="0.25">
      <c r="A16" s="43"/>
      <c r="B16" s="43"/>
      <c r="C16" s="7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x14ac:dyDescent="0.25">
      <c r="A17" s="43"/>
      <c r="B17" s="43" t="s">
        <v>43</v>
      </c>
      <c r="C17" s="7"/>
      <c r="D17" s="43"/>
      <c r="E17" s="43"/>
      <c r="F17" s="7"/>
      <c r="G17" s="43"/>
      <c r="H17" s="43"/>
      <c r="I17" s="43"/>
      <c r="J17" s="43"/>
      <c r="K17" s="43"/>
      <c r="L17" s="43"/>
      <c r="M17" s="43"/>
      <c r="N17" s="43"/>
    </row>
    <row r="18" spans="1:14" x14ac:dyDescent="0.25">
      <c r="A18" s="43"/>
      <c r="B18" s="43" t="s">
        <v>80</v>
      </c>
      <c r="C18" s="7">
        <v>2475033418.0508285</v>
      </c>
      <c r="D18" s="43"/>
      <c r="E18" s="43"/>
      <c r="F18" s="7"/>
      <c r="G18" s="43"/>
      <c r="H18" s="43"/>
      <c r="I18" s="43"/>
      <c r="J18" s="43"/>
      <c r="K18" s="43"/>
      <c r="L18" s="43"/>
      <c r="M18" s="43"/>
      <c r="N18" s="43"/>
    </row>
    <row r="19" spans="1:14" x14ac:dyDescent="0.25">
      <c r="A19" s="43"/>
      <c r="B19" s="43"/>
      <c r="C19" s="6"/>
      <c r="D19" s="27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 x14ac:dyDescent="0.25">
      <c r="A20" s="43"/>
      <c r="B20" s="43" t="s">
        <v>88</v>
      </c>
      <c r="C20" s="6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1:14" x14ac:dyDescent="0.25">
      <c r="A21" s="43"/>
      <c r="B21" s="43"/>
      <c r="C21" s="6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x14ac:dyDescent="0.25">
      <c r="A22" s="43"/>
      <c r="B22" s="43" t="s">
        <v>45</v>
      </c>
      <c r="C22" s="6">
        <v>62283830</v>
      </c>
      <c r="D22" s="43"/>
      <c r="E22" s="6"/>
      <c r="F22" s="44"/>
      <c r="G22" s="43"/>
      <c r="H22" s="43"/>
      <c r="I22" s="43"/>
      <c r="J22" s="43"/>
      <c r="K22" s="43"/>
      <c r="L22" s="43"/>
      <c r="M22" s="43"/>
      <c r="N22" s="43"/>
    </row>
    <row r="23" spans="1:14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x14ac:dyDescent="0.25">
      <c r="C25" s="43"/>
    </row>
    <row r="26" spans="1:14" x14ac:dyDescent="0.25">
      <c r="C26" s="43"/>
    </row>
  </sheetData>
  <phoneticPr fontId="2" type="noConversion"/>
  <pageMargins left="0.2" right="0.2" top="0.2" bottom="0.2" header="0.2" footer="0.2"/>
  <pageSetup paperSize="5" orientation="landscape" r:id="rId1"/>
  <headerFooter alignWithMargins="0">
    <oddHeader>&amp;R&amp;"Times New Roman,Bold"KyPSC Case No. 2020-00371
STAFF-DR-01-010 Attachment
Appendix B
Page &amp;P of 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35"/>
  <sheetViews>
    <sheetView tabSelected="1" view="pageLayout" zoomScaleNormal="80" workbookViewId="0">
      <selection activeCell="M1" sqref="M1"/>
    </sheetView>
  </sheetViews>
  <sheetFormatPr defaultColWidth="9.26953125" defaultRowHeight="12.5" x14ac:dyDescent="0.25"/>
  <cols>
    <col min="1" max="1" width="13.54296875" style="43" customWidth="1"/>
    <col min="2" max="2" width="11.7265625" style="43" customWidth="1"/>
    <col min="3" max="3" width="16.7265625" style="43" customWidth="1"/>
    <col min="4" max="4" width="15.7265625" style="43" customWidth="1"/>
    <col min="5" max="5" width="1.26953125" style="43" customWidth="1"/>
    <col min="6" max="6" width="15.453125" style="43" customWidth="1"/>
    <col min="7" max="7" width="13.26953125" style="43" customWidth="1"/>
    <col min="8" max="8" width="18.26953125" style="43" customWidth="1"/>
    <col min="9" max="9" width="14.54296875" style="43" customWidth="1"/>
    <col min="10" max="10" width="6.26953125" style="43" customWidth="1"/>
    <col min="11" max="11" width="22" style="43" customWidth="1"/>
    <col min="12" max="12" width="8.54296875" style="43" bestFit="1" customWidth="1"/>
    <col min="13" max="13" width="12.26953125" style="43" customWidth="1"/>
    <col min="14" max="14" width="21.453125" style="43" customWidth="1"/>
    <col min="15" max="15" width="9.26953125" style="43"/>
    <col min="16" max="16" width="25" style="43" customWidth="1"/>
    <col min="17" max="17" width="9.26953125" style="43" bestFit="1" customWidth="1"/>
    <col min="18" max="16384" width="9.26953125" style="43"/>
  </cols>
  <sheetData>
    <row r="1" spans="2:13" x14ac:dyDescent="0.25">
      <c r="B1" s="43" t="str">
        <f>'Page 1'!E3</f>
        <v xml:space="preserve">                      Kentucky DSM Rider</v>
      </c>
      <c r="M1" s="25"/>
    </row>
    <row r="3" spans="2:13" x14ac:dyDescent="0.25">
      <c r="B3" s="43" t="str">
        <f>'Page 4'!B3</f>
        <v>Duke Energy Kentucky</v>
      </c>
    </row>
    <row r="4" spans="2:13" x14ac:dyDescent="0.25">
      <c r="B4" s="44" t="s">
        <v>74</v>
      </c>
    </row>
    <row r="5" spans="2:13" x14ac:dyDescent="0.25">
      <c r="B5" s="43" t="s">
        <v>46</v>
      </c>
    </row>
    <row r="7" spans="2:13" x14ac:dyDescent="0.25">
      <c r="B7" s="44" t="s">
        <v>121</v>
      </c>
    </row>
    <row r="9" spans="2:1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1" spans="2:13" x14ac:dyDescent="0.25">
      <c r="G11" s="41" t="s">
        <v>47</v>
      </c>
      <c r="H11" s="41" t="s">
        <v>48</v>
      </c>
      <c r="I11" s="41" t="s">
        <v>49</v>
      </c>
    </row>
    <row r="12" spans="2:13" x14ac:dyDescent="0.25">
      <c r="B12" s="43" t="s">
        <v>50</v>
      </c>
      <c r="F12" s="41" t="s">
        <v>51</v>
      </c>
      <c r="G12" s="41" t="s">
        <v>35</v>
      </c>
      <c r="H12" s="41" t="s">
        <v>52</v>
      </c>
      <c r="I12" s="41" t="s">
        <v>53</v>
      </c>
      <c r="K12" s="43" t="s">
        <v>54</v>
      </c>
    </row>
    <row r="13" spans="2:13" x14ac:dyDescent="0.25">
      <c r="B13" s="43" t="s">
        <v>78</v>
      </c>
      <c r="F13" s="41" t="s">
        <v>57</v>
      </c>
      <c r="G13" s="41" t="s">
        <v>58</v>
      </c>
      <c r="H13" s="41" t="s">
        <v>55</v>
      </c>
      <c r="I13" s="41" t="s">
        <v>59</v>
      </c>
      <c r="K13" s="43" t="s">
        <v>75</v>
      </c>
    </row>
    <row r="14" spans="2:13" x14ac:dyDescent="0.25">
      <c r="B14" s="26" t="s">
        <v>37</v>
      </c>
      <c r="C14" s="26"/>
    </row>
    <row r="15" spans="2:13" x14ac:dyDescent="0.25">
      <c r="B15" s="43" t="s">
        <v>38</v>
      </c>
      <c r="D15" s="22"/>
      <c r="F15" s="2">
        <f>'Page 1'!O19*Q33</f>
        <v>-124291.11652680027</v>
      </c>
      <c r="G15" s="21">
        <f>'Page 2'!J19</f>
        <v>3358352.9781085239</v>
      </c>
      <c r="H15" s="3">
        <f>SUM(D15:G15)</f>
        <v>3234061.8615817237</v>
      </c>
      <c r="I15" s="6">
        <f>'Page 4'!C12</f>
        <v>1487109844.9957395</v>
      </c>
      <c r="J15" s="22" t="s">
        <v>89</v>
      </c>
      <c r="K15" s="47">
        <f>H15/(I15)</f>
        <v>2.1747296425106977E-3</v>
      </c>
      <c r="L15" s="43" t="s">
        <v>56</v>
      </c>
    </row>
    <row r="16" spans="2:13" x14ac:dyDescent="0.25">
      <c r="F16" s="6"/>
      <c r="J16" s="22"/>
    </row>
    <row r="17" spans="2:12" x14ac:dyDescent="0.25">
      <c r="B17" s="43" t="s">
        <v>82</v>
      </c>
      <c r="F17" s="6"/>
      <c r="J17" s="22"/>
    </row>
    <row r="18" spans="2:12" x14ac:dyDescent="0.25">
      <c r="B18" s="43" t="s">
        <v>39</v>
      </c>
      <c r="D18" s="2"/>
      <c r="F18" s="21">
        <f>'Page 1'!J39*Q33</f>
        <v>-5346157.898529036</v>
      </c>
      <c r="G18" s="2">
        <f>'Page 2'!J32-'Page 2'!J30</f>
        <v>2916935.4203043142</v>
      </c>
      <c r="H18" s="3">
        <f>SUM(D18:G18)</f>
        <v>-2429222.4782247217</v>
      </c>
      <c r="I18" s="6">
        <f>'Page 4'!C15</f>
        <v>2237356418.0508285</v>
      </c>
      <c r="J18" s="22" t="s">
        <v>89</v>
      </c>
      <c r="K18" s="48">
        <f>H18/(I18)</f>
        <v>-1.0857556974945663E-3</v>
      </c>
      <c r="L18" s="43" t="s">
        <v>56</v>
      </c>
    </row>
    <row r="19" spans="2:12" x14ac:dyDescent="0.25">
      <c r="D19" s="2"/>
      <c r="F19" s="2"/>
      <c r="G19" s="2"/>
      <c r="H19" s="3"/>
      <c r="I19" s="6"/>
      <c r="J19" s="22"/>
      <c r="K19" s="22"/>
    </row>
    <row r="20" spans="2:12" x14ac:dyDescent="0.25">
      <c r="B20" s="43" t="s">
        <v>84</v>
      </c>
      <c r="G20" s="2"/>
      <c r="H20" s="3"/>
      <c r="I20" s="6"/>
      <c r="J20" s="22"/>
      <c r="K20" s="22"/>
    </row>
    <row r="21" spans="2:12" x14ac:dyDescent="0.25">
      <c r="B21" s="43" t="s">
        <v>83</v>
      </c>
      <c r="F21" s="2"/>
      <c r="G21" s="2"/>
      <c r="H21" s="3"/>
      <c r="I21" s="6"/>
      <c r="J21" s="22"/>
      <c r="K21" s="22"/>
    </row>
    <row r="22" spans="2:12" x14ac:dyDescent="0.25">
      <c r="B22" s="43" t="s">
        <v>81</v>
      </c>
      <c r="D22" s="2"/>
      <c r="F22" s="21">
        <f>'Page 1'!J41*Q33</f>
        <v>-426239.02602215583</v>
      </c>
      <c r="G22" s="2">
        <f>'Page 2'!J30</f>
        <v>965165.83212030318</v>
      </c>
      <c r="H22" s="3">
        <f>SUM(D22:G22)</f>
        <v>538926.8060981473</v>
      </c>
      <c r="I22" s="6">
        <f>'Page 4'!C18</f>
        <v>2475033418.0508285</v>
      </c>
      <c r="J22" s="22" t="s">
        <v>89</v>
      </c>
      <c r="K22" s="48">
        <f>H22/(I22)</f>
        <v>2.1774526443467989E-4</v>
      </c>
      <c r="L22" s="43" t="s">
        <v>56</v>
      </c>
    </row>
    <row r="23" spans="2:12" x14ac:dyDescent="0.25">
      <c r="D23" s="2"/>
      <c r="F23" s="2"/>
      <c r="G23" s="2"/>
      <c r="H23" s="3"/>
      <c r="I23" s="6"/>
      <c r="J23" s="22"/>
      <c r="K23" s="22"/>
    </row>
    <row r="24" spans="2:12" x14ac:dyDescent="0.25">
      <c r="B24" s="43" t="s">
        <v>85</v>
      </c>
      <c r="D24" s="2"/>
      <c r="F24" s="2"/>
      <c r="G24" s="2"/>
      <c r="H24" s="3"/>
      <c r="I24" s="6"/>
      <c r="J24" s="22"/>
      <c r="K24" s="22"/>
    </row>
    <row r="25" spans="2:12" x14ac:dyDescent="0.25">
      <c r="B25" s="43" t="s">
        <v>39</v>
      </c>
      <c r="D25" s="2"/>
      <c r="F25" s="2"/>
      <c r="G25" s="2"/>
      <c r="H25" s="3"/>
      <c r="I25" s="6"/>
      <c r="J25" s="22"/>
      <c r="K25" s="48">
        <f>K18+K22</f>
        <v>-8.6801043305988646E-4</v>
      </c>
      <c r="L25" s="43" t="str">
        <f>L22</f>
        <v>$/kWh</v>
      </c>
    </row>
    <row r="26" spans="2:12" x14ac:dyDescent="0.25">
      <c r="F26" s="6"/>
    </row>
    <row r="27" spans="2:12" x14ac:dyDescent="0.25">
      <c r="B27" s="26" t="s">
        <v>40</v>
      </c>
      <c r="F27" s="6"/>
    </row>
    <row r="28" spans="2:12" x14ac:dyDescent="0.25">
      <c r="B28" s="43" t="s">
        <v>38</v>
      </c>
      <c r="D28" s="22"/>
      <c r="F28" s="2">
        <f>'Page 1'!N19*Q33</f>
        <v>2568212.4789250316</v>
      </c>
      <c r="G28" s="2">
        <f>'Page 2'!K19</f>
        <v>285414.81461964903</v>
      </c>
      <c r="H28" s="3">
        <f>SUM(D28:G28)</f>
        <v>2853627.2935446808</v>
      </c>
      <c r="I28" s="6">
        <f>'Page 4'!C22</f>
        <v>62283830</v>
      </c>
      <c r="J28" s="22" t="s">
        <v>90</v>
      </c>
      <c r="K28" s="22">
        <f>H28/(I28)</f>
        <v>4.5816503152498501E-2</v>
      </c>
      <c r="L28" s="43" t="s">
        <v>91</v>
      </c>
    </row>
    <row r="30" spans="2:12" x14ac:dyDescent="0.25">
      <c r="C30" s="43" t="s">
        <v>77</v>
      </c>
      <c r="H30" s="3">
        <f>SUM(H15:H29)</f>
        <v>4197393.4829998296</v>
      </c>
    </row>
    <row r="31" spans="2:12" x14ac:dyDescent="0.25">
      <c r="H31" s="3"/>
    </row>
    <row r="33" spans="2:17" x14ac:dyDescent="0.25">
      <c r="B33" s="29" t="s">
        <v>142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0"/>
      <c r="Q33" s="91">
        <v>1.0141</v>
      </c>
    </row>
    <row r="34" spans="2:17" x14ac:dyDescent="0.25">
      <c r="B34" s="44" t="s">
        <v>93</v>
      </c>
    </row>
    <row r="35" spans="2:17" x14ac:dyDescent="0.25">
      <c r="B35" s="44" t="s">
        <v>94</v>
      </c>
    </row>
  </sheetData>
  <phoneticPr fontId="2" type="noConversion"/>
  <pageMargins left="0.2" right="0.2" top="0.2" bottom="0.2" header="0.2" footer="0.2"/>
  <pageSetup paperSize="5" scale="75" orientation="landscape" r:id="rId1"/>
  <headerFooter alignWithMargins="0">
    <oddHeader>&amp;R&amp;"Times New Roman,Bold"KyPSC Case No. 2020-00371
STAFF-DR-01-010 Attachment
Appendix B
Page &amp;P of 7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9"/>
  <sheetViews>
    <sheetView tabSelected="1" view="pageLayout" zoomScaleNormal="80" workbookViewId="0">
      <selection activeCell="M1" sqref="M1"/>
    </sheetView>
  </sheetViews>
  <sheetFormatPr defaultColWidth="9.26953125" defaultRowHeight="12.5" x14ac:dyDescent="0.25"/>
  <cols>
    <col min="1" max="1" width="44.26953125" style="70" bestFit="1" customWidth="1"/>
    <col min="2" max="2" width="18.453125" style="70" customWidth="1"/>
    <col min="3" max="3" width="14.7265625" style="70" customWidth="1"/>
    <col min="4" max="4" width="12.26953125" style="70" customWidth="1"/>
    <col min="5" max="5" width="13" style="70" customWidth="1"/>
    <col min="6" max="6" width="1.26953125" style="70" customWidth="1"/>
    <col min="7" max="8" width="17.26953125" style="70" customWidth="1"/>
    <col min="9" max="9" width="9.453125" style="70" customWidth="1"/>
    <col min="10" max="16384" width="9.26953125" style="70"/>
  </cols>
  <sheetData>
    <row r="1" spans="1:8" x14ac:dyDescent="0.25">
      <c r="A1" s="69"/>
    </row>
    <row r="3" spans="1:8" x14ac:dyDescent="0.25">
      <c r="A3" s="71"/>
      <c r="B3" s="69"/>
      <c r="C3" s="69"/>
      <c r="D3" s="69"/>
      <c r="E3" s="69"/>
      <c r="F3" s="71"/>
      <c r="G3" s="69"/>
      <c r="H3" s="69"/>
    </row>
    <row r="4" spans="1:8" ht="44.25" customHeight="1" x14ac:dyDescent="0.25">
      <c r="A4" s="79" t="s">
        <v>132</v>
      </c>
      <c r="B4" s="80"/>
      <c r="C4" s="80"/>
      <c r="D4" s="80"/>
      <c r="E4" s="80"/>
      <c r="F4" s="69"/>
      <c r="G4" s="127" t="s">
        <v>134</v>
      </c>
      <c r="H4" s="127"/>
    </row>
    <row r="5" spans="1:8" x14ac:dyDescent="0.25">
      <c r="A5" s="81"/>
      <c r="B5" s="80"/>
      <c r="C5" s="80"/>
      <c r="D5" s="80"/>
      <c r="E5" s="80"/>
      <c r="F5" s="69"/>
      <c r="G5" s="45"/>
      <c r="H5" s="45"/>
    </row>
    <row r="6" spans="1:8" ht="25" x14ac:dyDescent="0.25">
      <c r="A6" s="81" t="s">
        <v>21</v>
      </c>
      <c r="B6" s="82" t="s">
        <v>89</v>
      </c>
      <c r="C6" s="46" t="s">
        <v>107</v>
      </c>
      <c r="D6" s="83" t="s">
        <v>105</v>
      </c>
      <c r="E6" s="46" t="s">
        <v>107</v>
      </c>
      <c r="F6" s="69"/>
      <c r="G6" s="46" t="s">
        <v>109</v>
      </c>
      <c r="H6" s="46" t="s">
        <v>110</v>
      </c>
    </row>
    <row r="7" spans="1:8" x14ac:dyDescent="0.25">
      <c r="A7" s="71" t="s">
        <v>98</v>
      </c>
      <c r="B7" s="109">
        <v>138757.70996894428</v>
      </c>
      <c r="C7" s="93">
        <f t="shared" ref="C7:C13" si="0">B7/B$15</f>
        <v>9.2219679862341817E-5</v>
      </c>
      <c r="D7" s="94">
        <v>0</v>
      </c>
      <c r="E7" s="73">
        <f>D7/D$15</f>
        <v>0</v>
      </c>
      <c r="F7" s="69"/>
      <c r="G7" s="84">
        <f t="shared" ref="G7:G11" si="1">C7/SUM($C7,$E7)</f>
        <v>1</v>
      </c>
      <c r="H7" s="84">
        <f t="shared" ref="H7:H12" si="2">1-G7</f>
        <v>0</v>
      </c>
    </row>
    <row r="8" spans="1:8" x14ac:dyDescent="0.25">
      <c r="A8" s="71" t="s">
        <v>99</v>
      </c>
      <c r="B8" s="109">
        <v>122142.99997266289</v>
      </c>
      <c r="C8" s="93">
        <f t="shared" si="0"/>
        <v>8.1177387241588377E-5</v>
      </c>
      <c r="D8" s="94">
        <v>6548.527333333328</v>
      </c>
      <c r="E8" s="73">
        <f>D8/D$15</f>
        <v>1.1114418653552699E-4</v>
      </c>
      <c r="F8" s="69"/>
      <c r="G8" s="111">
        <f t="shared" si="1"/>
        <v>0.422091945522795</v>
      </c>
      <c r="H8" s="111">
        <f t="shared" si="2"/>
        <v>0.57790805447720506</v>
      </c>
    </row>
    <row r="9" spans="1:8" x14ac:dyDescent="0.25">
      <c r="A9" s="71" t="s">
        <v>97</v>
      </c>
      <c r="B9" s="109">
        <v>1596695.4843052027</v>
      </c>
      <c r="C9" s="93">
        <f t="shared" si="0"/>
        <v>1.0611788450042041E-3</v>
      </c>
      <c r="D9" s="94">
        <v>0</v>
      </c>
      <c r="E9" s="73">
        <f>D9/D$15</f>
        <v>0</v>
      </c>
      <c r="F9" s="69"/>
      <c r="G9" s="84">
        <f t="shared" si="1"/>
        <v>1</v>
      </c>
      <c r="H9" s="84">
        <f t="shared" si="2"/>
        <v>0</v>
      </c>
    </row>
    <row r="10" spans="1:8" x14ac:dyDescent="0.25">
      <c r="A10" s="71" t="s">
        <v>100</v>
      </c>
      <c r="B10" s="109">
        <v>285139.21388200583</v>
      </c>
      <c r="C10" s="93">
        <f t="shared" si="0"/>
        <v>1.8950620492572009E-4</v>
      </c>
      <c r="D10" s="94">
        <v>0</v>
      </c>
      <c r="E10" s="73">
        <f>D10/D$15</f>
        <v>0</v>
      </c>
      <c r="F10" s="69"/>
      <c r="G10" s="84">
        <f t="shared" si="1"/>
        <v>1</v>
      </c>
      <c r="H10" s="84">
        <f t="shared" si="2"/>
        <v>0</v>
      </c>
    </row>
    <row r="11" spans="1:8" x14ac:dyDescent="0.25">
      <c r="A11" s="71" t="s">
        <v>96</v>
      </c>
      <c r="B11" s="109">
        <v>6640872.9703401197</v>
      </c>
      <c r="C11" s="93">
        <f t="shared" si="0"/>
        <v>4.4135866718203404E-3</v>
      </c>
      <c r="D11" s="94">
        <v>0</v>
      </c>
      <c r="E11" s="73">
        <f>D11/D$15</f>
        <v>0</v>
      </c>
      <c r="F11" s="69"/>
      <c r="G11" s="84">
        <f t="shared" si="1"/>
        <v>1</v>
      </c>
      <c r="H11" s="84">
        <f t="shared" si="2"/>
        <v>0</v>
      </c>
    </row>
    <row r="12" spans="1:8" x14ac:dyDescent="0.25">
      <c r="A12" s="71" t="s">
        <v>115</v>
      </c>
      <c r="B12" s="92">
        <v>0</v>
      </c>
      <c r="C12" s="93">
        <f t="shared" si="0"/>
        <v>0</v>
      </c>
      <c r="D12" s="94">
        <v>0</v>
      </c>
      <c r="E12" s="73"/>
      <c r="F12" s="69"/>
      <c r="G12" s="84">
        <v>1</v>
      </c>
      <c r="H12" s="84">
        <f t="shared" si="2"/>
        <v>0</v>
      </c>
    </row>
    <row r="13" spans="1:8" x14ac:dyDescent="0.25">
      <c r="A13" s="85" t="s">
        <v>106</v>
      </c>
      <c r="B13" s="86">
        <f>SUM(B7:B12)</f>
        <v>8783608.3784689344</v>
      </c>
      <c r="C13" s="95">
        <f t="shared" si="0"/>
        <v>5.8376687888541936E-3</v>
      </c>
      <c r="D13" s="86">
        <f>SUM(D7:D12)</f>
        <v>6548.527333333328</v>
      </c>
      <c r="E13" s="74">
        <f>D13/D$15</f>
        <v>1.1114418653552699E-4</v>
      </c>
      <c r="F13" s="69"/>
      <c r="G13" s="69"/>
      <c r="H13" s="69"/>
    </row>
    <row r="14" spans="1:8" x14ac:dyDescent="0.25">
      <c r="A14" s="81"/>
      <c r="B14" s="87"/>
      <c r="C14" s="88"/>
      <c r="D14" s="87"/>
      <c r="E14" s="72"/>
      <c r="F14" s="69"/>
      <c r="G14" s="69"/>
      <c r="H14" s="69"/>
    </row>
    <row r="15" spans="1:8" x14ac:dyDescent="0.25">
      <c r="A15" s="81" t="s">
        <v>108</v>
      </c>
      <c r="B15" s="124">
        <v>1504643154</v>
      </c>
      <c r="C15" s="88">
        <v>1</v>
      </c>
      <c r="D15" s="124">
        <v>58919207</v>
      </c>
      <c r="E15" s="75">
        <v>1</v>
      </c>
      <c r="F15" s="69"/>
      <c r="G15" s="69"/>
      <c r="H15" s="69"/>
    </row>
    <row r="16" spans="1:8" x14ac:dyDescent="0.25">
      <c r="A16" s="71" t="s">
        <v>133</v>
      </c>
      <c r="B16" s="69"/>
      <c r="C16" s="69"/>
      <c r="D16" s="69"/>
      <c r="E16" s="71"/>
      <c r="F16" s="69"/>
      <c r="G16" s="69"/>
      <c r="H16" s="69"/>
    </row>
    <row r="18" spans="1:1" x14ac:dyDescent="0.25">
      <c r="A18" s="70" t="s">
        <v>128</v>
      </c>
    </row>
    <row r="19" spans="1:1" x14ac:dyDescent="0.25">
      <c r="A19" s="69"/>
    </row>
  </sheetData>
  <mergeCells count="1">
    <mergeCell ref="G4:H4"/>
  </mergeCells>
  <pageMargins left="0.2" right="0.2" top="0.2" bottom="0.2" header="0.2" footer="0.2"/>
  <pageSetup paperSize="5" orientation="landscape" r:id="rId1"/>
  <headerFooter alignWithMargins="0">
    <oddHeader>&amp;R&amp;"Times New Roman,Bold"KyPSC Case No. 2020-00371
STAFF-DR-01-010 Attachment
Appendix B
Page &amp;P of 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0"/>
  <sheetViews>
    <sheetView tabSelected="1" view="pageLayout" zoomScaleNormal="100" workbookViewId="0">
      <selection activeCell="M1" sqref="M1"/>
    </sheetView>
  </sheetViews>
  <sheetFormatPr defaultColWidth="9.26953125" defaultRowHeight="12.5" x14ac:dyDescent="0.25"/>
  <cols>
    <col min="1" max="1" width="44.26953125" style="99" bestFit="1" customWidth="1"/>
    <col min="2" max="2" width="18.453125" style="99" customWidth="1"/>
    <col min="3" max="3" width="14.7265625" style="99" customWidth="1"/>
    <col min="4" max="4" width="12.26953125" style="99" customWidth="1"/>
    <col min="5" max="5" width="13" style="99" customWidth="1"/>
    <col min="6" max="6" width="1.26953125" style="120" customWidth="1"/>
    <col min="7" max="8" width="17.26953125" style="120" customWidth="1"/>
    <col min="9" max="9" width="9.453125" style="99" customWidth="1"/>
    <col min="10" max="16384" width="9.26953125" style="99"/>
  </cols>
  <sheetData>
    <row r="1" spans="1:8" x14ac:dyDescent="0.25">
      <c r="A1" s="98"/>
      <c r="B1" s="98"/>
      <c r="C1" s="98"/>
      <c r="D1" s="98"/>
      <c r="E1" s="98"/>
      <c r="F1" s="70"/>
      <c r="G1" s="70"/>
      <c r="H1" s="70"/>
    </row>
    <row r="2" spans="1:8" x14ac:dyDescent="0.25">
      <c r="A2" s="98"/>
      <c r="B2" s="98"/>
      <c r="C2" s="98"/>
      <c r="D2" s="98"/>
      <c r="E2" s="98"/>
      <c r="F2" s="70"/>
      <c r="G2" s="70"/>
      <c r="H2" s="70"/>
    </row>
    <row r="3" spans="1:8" x14ac:dyDescent="0.25">
      <c r="A3" s="98"/>
      <c r="B3" s="100"/>
      <c r="C3" s="100"/>
      <c r="D3" s="100"/>
      <c r="E3" s="100"/>
      <c r="F3" s="69"/>
      <c r="G3" s="128"/>
      <c r="H3" s="128"/>
    </row>
    <row r="4" spans="1:8" ht="30.75" customHeight="1" x14ac:dyDescent="0.25">
      <c r="A4" s="125" t="s">
        <v>131</v>
      </c>
      <c r="B4" s="98"/>
      <c r="C4" s="98"/>
      <c r="D4" s="98"/>
      <c r="E4" s="101"/>
      <c r="F4" s="72"/>
      <c r="G4" s="127" t="s">
        <v>129</v>
      </c>
      <c r="H4" s="127"/>
    </row>
    <row r="5" spans="1:8" x14ac:dyDescent="0.25">
      <c r="A5" s="101"/>
      <c r="B5" s="102"/>
      <c r="C5" s="103"/>
      <c r="D5" s="103"/>
      <c r="E5" s="103"/>
      <c r="F5" s="72"/>
      <c r="G5" s="46"/>
      <c r="H5" s="46"/>
    </row>
    <row r="6" spans="1:8" ht="25.5" x14ac:dyDescent="0.3">
      <c r="A6" s="123" t="s">
        <v>21</v>
      </c>
      <c r="B6" s="104" t="s">
        <v>89</v>
      </c>
      <c r="C6" s="105" t="s">
        <v>107</v>
      </c>
      <c r="D6" s="106" t="s">
        <v>105</v>
      </c>
      <c r="E6" s="104" t="s">
        <v>107</v>
      </c>
      <c r="F6" s="72"/>
      <c r="G6" s="107" t="s">
        <v>109</v>
      </c>
      <c r="H6" s="107" t="s">
        <v>110</v>
      </c>
    </row>
    <row r="7" spans="1:8" ht="4.5" customHeight="1" x14ac:dyDescent="0.25">
      <c r="A7" s="108"/>
      <c r="B7" s="109"/>
      <c r="C7" s="73"/>
      <c r="D7" s="110"/>
      <c r="E7" s="73"/>
      <c r="F7" s="72"/>
      <c r="G7" s="111"/>
      <c r="H7" s="111"/>
    </row>
    <row r="8" spans="1:8" x14ac:dyDescent="0.25">
      <c r="A8" s="108" t="s">
        <v>98</v>
      </c>
      <c r="B8" s="109">
        <v>224406.00000000003</v>
      </c>
      <c r="C8" s="73">
        <v>1.5090075609041511E-4</v>
      </c>
      <c r="D8" s="110">
        <v>0</v>
      </c>
      <c r="E8" s="73">
        <v>0</v>
      </c>
      <c r="F8" s="72"/>
      <c r="G8" s="111">
        <f t="shared" ref="G8:G12" si="0">C8/SUM($C8,$E8)</f>
        <v>1</v>
      </c>
      <c r="H8" s="111">
        <v>0</v>
      </c>
    </row>
    <row r="9" spans="1:8" x14ac:dyDescent="0.25">
      <c r="A9" s="108" t="s">
        <v>99</v>
      </c>
      <c r="B9" s="109">
        <v>255140.00000755192</v>
      </c>
      <c r="C9" s="73">
        <v>1.7156768941137089E-4</v>
      </c>
      <c r="D9" s="110">
        <v>7833.1666666666597</v>
      </c>
      <c r="E9" s="73">
        <v>1.2576565485241772E-4</v>
      </c>
      <c r="F9" s="72"/>
      <c r="G9" s="111">
        <f t="shared" si="0"/>
        <v>0.57702135573183222</v>
      </c>
      <c r="H9" s="111">
        <f t="shared" ref="H9" si="1">E9/SUM($C9,$E9)</f>
        <v>0.42297864426816784</v>
      </c>
    </row>
    <row r="10" spans="1:8" x14ac:dyDescent="0.25">
      <c r="A10" s="108" t="s">
        <v>97</v>
      </c>
      <c r="B10" s="109">
        <v>1338471.5</v>
      </c>
      <c r="C10" s="73">
        <v>9.0004884608910652E-4</v>
      </c>
      <c r="D10" s="110">
        <v>0</v>
      </c>
      <c r="E10" s="73">
        <v>0</v>
      </c>
      <c r="F10" s="72"/>
      <c r="G10" s="111">
        <f t="shared" si="0"/>
        <v>1</v>
      </c>
      <c r="H10" s="111">
        <v>0</v>
      </c>
    </row>
    <row r="11" spans="1:8" x14ac:dyDescent="0.25">
      <c r="A11" s="108" t="s">
        <v>100</v>
      </c>
      <c r="B11" s="109">
        <v>384319.88306235988</v>
      </c>
      <c r="C11" s="73">
        <v>2.5843409238028402E-4</v>
      </c>
      <c r="D11" s="110">
        <v>0</v>
      </c>
      <c r="E11" s="73">
        <v>0</v>
      </c>
      <c r="F11" s="72"/>
      <c r="G11" s="111">
        <f t="shared" si="0"/>
        <v>1</v>
      </c>
      <c r="H11" s="111">
        <v>0</v>
      </c>
    </row>
    <row r="12" spans="1:8" x14ac:dyDescent="0.25">
      <c r="A12" s="112" t="s">
        <v>96</v>
      </c>
      <c r="B12" s="109">
        <v>2038691.9860994066</v>
      </c>
      <c r="C12" s="73">
        <v>1.3709088087567644E-3</v>
      </c>
      <c r="D12" s="110">
        <v>0</v>
      </c>
      <c r="E12" s="73">
        <v>0</v>
      </c>
      <c r="F12" s="72"/>
      <c r="G12" s="111">
        <f t="shared" si="0"/>
        <v>1</v>
      </c>
      <c r="H12" s="111">
        <v>0</v>
      </c>
    </row>
    <row r="13" spans="1:8" x14ac:dyDescent="0.25">
      <c r="A13" s="108" t="s">
        <v>115</v>
      </c>
      <c r="B13" s="109">
        <v>0</v>
      </c>
      <c r="C13" s="73">
        <v>0</v>
      </c>
      <c r="D13" s="110">
        <v>0</v>
      </c>
      <c r="E13" s="73">
        <v>0</v>
      </c>
      <c r="F13" s="72"/>
      <c r="G13" s="111">
        <v>1</v>
      </c>
      <c r="H13" s="113">
        <v>0</v>
      </c>
    </row>
    <row r="14" spans="1:8" x14ac:dyDescent="0.25">
      <c r="A14" s="114" t="s">
        <v>106</v>
      </c>
      <c r="B14" s="115">
        <f>SUM(B7:B13)</f>
        <v>4241029.369169319</v>
      </c>
      <c r="C14" s="74">
        <v>2.8518601927279407E-3</v>
      </c>
      <c r="D14" s="116">
        <f>SUM(D7:D13)</f>
        <v>7833.1666666666597</v>
      </c>
      <c r="E14" s="74">
        <f>SUM(E7:E13)</f>
        <v>1.2576565485241772E-4</v>
      </c>
      <c r="F14" s="72"/>
      <c r="G14" s="72"/>
      <c r="H14" s="72"/>
    </row>
    <row r="15" spans="1:8" x14ac:dyDescent="0.25">
      <c r="A15" s="108"/>
      <c r="B15" s="117"/>
      <c r="C15" s="75"/>
      <c r="D15" s="117"/>
      <c r="E15" s="118"/>
      <c r="F15" s="72"/>
      <c r="G15" s="72"/>
      <c r="H15" s="72"/>
    </row>
    <row r="16" spans="1:8" x14ac:dyDescent="0.25">
      <c r="A16" s="108" t="s">
        <v>108</v>
      </c>
      <c r="B16" s="124">
        <f>'Page 4'!C12</f>
        <v>1487109844.9957395</v>
      </c>
      <c r="C16" s="88">
        <f>B16/$B$16</f>
        <v>1</v>
      </c>
      <c r="D16" s="124">
        <f>'Page 4'!C22</f>
        <v>62283830</v>
      </c>
      <c r="E16" s="75">
        <f>D16/$D$16</f>
        <v>1</v>
      </c>
      <c r="F16" s="72"/>
      <c r="G16" s="72"/>
      <c r="H16" s="72"/>
    </row>
    <row r="17" spans="1:5" x14ac:dyDescent="0.25">
      <c r="A17" s="119" t="s">
        <v>124</v>
      </c>
      <c r="B17" s="118"/>
      <c r="C17" s="118"/>
      <c r="D17" s="119"/>
      <c r="E17" s="118"/>
    </row>
    <row r="19" spans="1:5" x14ac:dyDescent="0.25">
      <c r="A19" s="121" t="s">
        <v>125</v>
      </c>
    </row>
    <row r="20" spans="1:5" ht="14.5" x14ac:dyDescent="0.35">
      <c r="A20" s="122"/>
    </row>
    <row r="21" spans="1:5" customFormat="1" x14ac:dyDescent="0.25"/>
    <row r="22" spans="1:5" customFormat="1" x14ac:dyDescent="0.25"/>
    <row r="23" spans="1:5" customFormat="1" x14ac:dyDescent="0.25"/>
    <row r="24" spans="1:5" customFormat="1" x14ac:dyDescent="0.25"/>
    <row r="25" spans="1:5" customFormat="1" x14ac:dyDescent="0.25"/>
    <row r="26" spans="1:5" customFormat="1" x14ac:dyDescent="0.25"/>
    <row r="27" spans="1:5" customFormat="1" x14ac:dyDescent="0.25"/>
    <row r="28" spans="1:5" customFormat="1" x14ac:dyDescent="0.25"/>
    <row r="29" spans="1:5" customFormat="1" x14ac:dyDescent="0.25"/>
    <row r="30" spans="1:5" customFormat="1" x14ac:dyDescent="0.25"/>
  </sheetData>
  <mergeCells count="2">
    <mergeCell ref="G3:H3"/>
    <mergeCell ref="G4:H4"/>
  </mergeCells>
  <pageMargins left="0.2" right="0.2" top="0.2" bottom="0.2" header="0.2" footer="0.2"/>
  <pageSetup paperSize="5" orientation="landscape" r:id="rId1"/>
  <headerFooter alignWithMargins="0">
    <oddHeader>&amp;R&amp;"Times New Roman,Bold"KyPSC Case No. 2020-00371
STAFF-DR-01-010 Attachment
Appendix B
Page &amp;P of 7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71E3306A1E394C8AAFCF6CCB6BA2C1" ma:contentTypeVersion="12" ma:contentTypeDescription="Create a new document." ma:contentTypeScope="" ma:versionID="721940e0208214bc93c6d5f4ebf2bc48">
  <xsd:schema xmlns:xsd="http://www.w3.org/2001/XMLSchema" xmlns:xs="http://www.w3.org/2001/XMLSchema" xmlns:p="http://schemas.microsoft.com/office/2006/metadata/properties" xmlns:ns1="http://schemas.microsoft.com/sharepoint/v3" xmlns:ns3="5bbf2fa6-4553-44db-8e16-dac3f2a4809a" targetNamespace="http://schemas.microsoft.com/office/2006/metadata/properties" ma:root="true" ma:fieldsID="6f54124886f408a6260a5f4b12061c14" ns1:_="" ns3:_="">
    <xsd:import namespace="http://schemas.microsoft.com/sharepoint/v3"/>
    <xsd:import namespace="5bbf2fa6-4553-44db-8e16-dac3f2a4809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f2fa6-4553-44db-8e16-dac3f2a480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E18168-2B0E-4193-A7E0-68EC477299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bbf2fa6-4553-44db-8e16-dac3f2a480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56FA78-8CAC-46E4-A06E-6CC39F53FDD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F176305-C948-4C65-B478-1CBD169A75AD}">
  <ds:schemaRefs>
    <ds:schemaRef ds:uri="http://schemas.microsoft.com/office/2006/metadata/properties"/>
    <ds:schemaRef ds:uri="http://schemas.openxmlformats.org/package/2006/metadata/core-properties"/>
    <ds:schemaRef ds:uri="5bbf2fa6-4553-44db-8e16-dac3f2a4809a"/>
    <ds:schemaRef ds:uri="http://purl.org/dc/terms/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999BAC0-8032-4ACF-9532-AE5CFCE587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Page 1</vt:lpstr>
      <vt:lpstr>Page 2</vt:lpstr>
      <vt:lpstr>Page 3</vt:lpstr>
      <vt:lpstr>Page 4</vt:lpstr>
      <vt:lpstr>Page 5</vt:lpstr>
      <vt:lpstr>Page 6</vt:lpstr>
      <vt:lpstr>Page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2016-10-28T20:40:02Z</dcterms:created>
  <dcterms:modified xsi:type="dcterms:W3CDTF">2021-01-11T18:41:27Z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0x0101004571E3306A1E394C8AAFCF6CCB6BA2C1</vt:lpwstr>
  </property>
</Properties>
</file>