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ieber\Documents\Kroger - Kentucky\KU and LG&amp;E 2020\Data Requests to Kroger\"/>
    </mc:Choice>
  </mc:AlternateContent>
  <xr:revisionPtr revIDLastSave="0" documentId="13_ncr:1_{74CE57A2-FE2C-4500-9328-0662D537697A}" xr6:coauthVersionLast="46" xr6:coauthVersionMax="46" xr10:uidLastSave="{00000000-0000-0000-0000-000000000000}"/>
  <bookViews>
    <workbookView xWindow="-120" yWindow="-120" windowWidth="29040" windowHeight="15840" xr2:uid="{F33F71BF-6152-4731-A4D0-B95E92F113A2}"/>
  </bookViews>
  <sheets>
    <sheet name="TODS Bill Comparison" sheetId="4" r:id="rId1"/>
    <sheet name="TODS Rates Agg Dem Ex." sheetId="3" r:id="rId2"/>
    <sheet name="TODS Unit Costs (As-Filed)" sheetId="2" r:id="rId3"/>
    <sheet name="TODS Rates (As-Filed)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">[14]EGSplit!#REF!</definedName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\0">#REF!</definedName>
    <definedName name="\A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M" localSheetId="0">#REF!</definedName>
    <definedName name="\M">#REF!</definedName>
    <definedName name="\P" localSheetId="0">[16]dbase!#REF!</definedName>
    <definedName name="\P">[2]dbase!#REF!</definedName>
    <definedName name="\R" localSheetId="0">#REF!</definedName>
    <definedName name="\R">#REF!</definedName>
    <definedName name="\S" localSheetId="0">[16]dbase!#REF!</definedName>
    <definedName name="\S">[2]dbase!#REF!</definedName>
    <definedName name="\T" localSheetId="0">#REF!</definedName>
    <definedName name="\T">#REF!</definedName>
    <definedName name="\Y" localSheetId="0">[17]d20!#REF!</definedName>
    <definedName name="\Y">[3]d20!#REF!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10NON_UTILITY" localSheetId="0">#REF!</definedName>
    <definedName name="_10NON_UTILITY">#REF!</definedName>
    <definedName name="_12MonResults_KWH_Total">'[18]12MonResults'!$K$4:$K$1467</definedName>
    <definedName name="_12MonResults_Rate">'[18]12MonResults'!$C$4:$C$1467</definedName>
    <definedName name="_12MonResultsActual">'[4]12MonResults'!$AQ$4:$AQ$495</definedName>
    <definedName name="_12MonResultsRateClass">'[4]12MonResults'!$C$4:$C$495</definedName>
    <definedName name="_1GAS_FINANCING" localSheetId="0">#REF!</definedName>
    <definedName name="_1GAS_FINANCING">#REF!</definedName>
    <definedName name="_may1" localSheetId="0">#REF!</definedName>
    <definedName name="_may1">#REF!</definedName>
    <definedName name="_Order1" hidden="1">0</definedName>
    <definedName name="_Order2" hidden="1">0</definedName>
    <definedName name="_P" localSheetId="0">#REF!</definedName>
    <definedName name="_P">#REF!</definedName>
    <definedName name="_PG1" localSheetId="0">#REF!</definedName>
    <definedName name="_PG1">#REF!</definedName>
    <definedName name="_PG2" localSheetId="0">#REF!</definedName>
    <definedName name="_PG2">#REF!</definedName>
    <definedName name="A" localSheetId="0">#REF!</definedName>
    <definedName name="A">#REF!</definedName>
    <definedName name="ACTUAL">"'Vol_Revs'!R5C3:R5C14"</definedName>
    <definedName name="ADJSUTW3" localSheetId="0">#REF!</definedName>
    <definedName name="ADJSUTW3">#REF!</definedName>
    <definedName name="ADJUSRN" localSheetId="0">#REF!</definedName>
    <definedName name="ADJUSRN">#REF!</definedName>
    <definedName name="Adjust2" localSheetId="0">#REF!</definedName>
    <definedName name="Adjust2">#REF!</definedName>
    <definedName name="ADJUSTA" localSheetId="0">#REF!</definedName>
    <definedName name="ADJUSTA">#REF!</definedName>
    <definedName name="ADJUSTAA" localSheetId="0">#REF!</definedName>
    <definedName name="ADJUSTAA">#REF!</definedName>
    <definedName name="ADJUSTB" localSheetId="0">#REF!</definedName>
    <definedName name="ADJUSTB">#REF!</definedName>
    <definedName name="ADJUSTC" localSheetId="0">#REF!</definedName>
    <definedName name="ADJUSTC">#REF!</definedName>
    <definedName name="ADJUSTD1" localSheetId="0">#REF!</definedName>
    <definedName name="ADJUSTD1">#REF!</definedName>
    <definedName name="ADJUSTD2" localSheetId="0">#REF!</definedName>
    <definedName name="ADJUSTD2">#REF!</definedName>
    <definedName name="ADJUSTD3" localSheetId="0">#REF!</definedName>
    <definedName name="ADJUSTD3">#REF!</definedName>
    <definedName name="ADJUSTD4" localSheetId="0">#REF!</definedName>
    <definedName name="ADJUSTD4">#REF!</definedName>
    <definedName name="ADJUSTG1" localSheetId="0">#REF!</definedName>
    <definedName name="ADJUSTG1">#REF!</definedName>
    <definedName name="ADJUSTG2" localSheetId="0">#REF!</definedName>
    <definedName name="ADJUSTG2">#REF!</definedName>
    <definedName name="ADJUSTG3" localSheetId="0">#REF!</definedName>
    <definedName name="ADJUSTG3">#REF!</definedName>
    <definedName name="ADJUSTG4" localSheetId="0">#REF!</definedName>
    <definedName name="ADJUSTG4">#REF!</definedName>
    <definedName name="ADJUSTH" localSheetId="0">#REF!</definedName>
    <definedName name="ADJUSTH">#REF!</definedName>
    <definedName name="ADJUSTI" localSheetId="0">#REF!</definedName>
    <definedName name="ADJUSTI">#REF!</definedName>
    <definedName name="ADJUSTK" localSheetId="0">#REF!</definedName>
    <definedName name="ADJUSTK">#REF!</definedName>
    <definedName name="ADJUSTM" localSheetId="0">#REF!</definedName>
    <definedName name="ADJUSTM">#REF!</definedName>
    <definedName name="ADJUSTN" localSheetId="0">#REF!</definedName>
    <definedName name="ADJUSTN">#REF!</definedName>
    <definedName name="ADJUSTO" localSheetId="0">#REF!</definedName>
    <definedName name="ADJUSTO">#REF!</definedName>
    <definedName name="ADJUSTP" localSheetId="0">#REF!</definedName>
    <definedName name="ADJUSTP">#REF!</definedName>
    <definedName name="ADJUSTQ" localSheetId="0">#REF!</definedName>
    <definedName name="ADJUSTQ">#REF!</definedName>
    <definedName name="ADJUSTR" localSheetId="0">#REF!</definedName>
    <definedName name="ADJUSTR">#REF!</definedName>
    <definedName name="ADJUSTS" localSheetId="0">#REF!</definedName>
    <definedName name="ADJUSTS">#REF!</definedName>
    <definedName name="ADJUSTT" localSheetId="0">#REF!</definedName>
    <definedName name="ADJUSTT">#REF!</definedName>
    <definedName name="ADJUSTW1" localSheetId="0">#REF!</definedName>
    <definedName name="ADJUSTW1">#REF!</definedName>
    <definedName name="ADJUSTW2" localSheetId="0">#REF!</definedName>
    <definedName name="ADJUSTW2">#REF!</definedName>
    <definedName name="ADJUSTX" localSheetId="0">#REF!</definedName>
    <definedName name="ADJUSTX">#REF!</definedName>
    <definedName name="ADJUSTY" localSheetId="0">#REF!</definedName>
    <definedName name="ADJUSTY">#REF!</definedName>
    <definedName name="ALERT2" localSheetId="0">#REF!</definedName>
    <definedName name="ALERT2">#REF!</definedName>
    <definedName name="Annual_Sales_KU" localSheetId="0">'[19]LGE Sales'!#REF!</definedName>
    <definedName name="Annual_Sales_KU">'[5]LGE Sales'!#REF!</definedName>
    <definedName name="assets" localSheetId="0">#REF!</definedName>
    <definedName name="assets">#REF!</definedName>
    <definedName name="B" localSheetId="0">#REF!</definedName>
    <definedName name="B">#REF!</definedName>
    <definedName name="Billed_Revenues_Dollars" localSheetId="0">#REF!</definedName>
    <definedName name="Billed_Revenues_Dollars">#REF!</definedName>
    <definedName name="Billed_Sales__KWh" localSheetId="0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 localSheetId="0">#REF!</definedName>
    <definedName name="C_">#REF!</definedName>
    <definedName name="Choices_Wrapper" localSheetId="0">'TODS Bill Comparison'!Choices_Wrapper</definedName>
    <definedName name="Choices_Wrapper">[0]!Choices_Wrapper</definedName>
    <definedName name="CM" localSheetId="0">#REF!</definedName>
    <definedName name="CM">#REF!</definedName>
    <definedName name="Coal_Annual_KU" localSheetId="0">'[19]LGE Coal'!#REF!</definedName>
    <definedName name="Coal_Annual_KU">'[5]LGE Coal'!#REF!</definedName>
    <definedName name="coal_hide_ku_01" localSheetId="0">'[19]LGE Coal'!#REF!</definedName>
    <definedName name="coal_hide_ku_01">'[5]LGE Coal'!#REF!</definedName>
    <definedName name="coal_hide_lge_01" localSheetId="0">'[19]LGE Coal'!#REF!</definedName>
    <definedName name="coal_hide_lge_01">'[5]LGE Coal'!#REF!</definedName>
    <definedName name="coal_ku_01" localSheetId="0">'[19]LGE Coal'!#REF!</definedName>
    <definedName name="coal_ku_01">'[5]LGE Coal'!#REF!</definedName>
    <definedName name="ColumnAttributes1" localSheetId="0">#REF!</definedName>
    <definedName name="ColumnAttributes1">#REF!</definedName>
    <definedName name="ColumnHeadings1" localSheetId="0">#REF!</definedName>
    <definedName name="ColumnHeadings1">#REF!</definedName>
    <definedName name="Comp" localSheetId="0">'TODS Bill Comparison'!Comp</definedName>
    <definedName name="Comp">[0]!Comp</definedName>
    <definedName name="ConsEarnings" localSheetId="0">#REF!</definedName>
    <definedName name="ConsEarnings">#REF!</definedName>
    <definedName name="CONSOLIDATED" localSheetId="0">#REF!</definedName>
    <definedName name="CONSOLIDATED">#REF!</definedName>
    <definedName name="CORPORATE" localSheetId="0">#REF!</definedName>
    <definedName name="CORPORATE">#REF!</definedName>
    <definedName name="counter" localSheetId="0">#REF!</definedName>
    <definedName name="counter">#REF!</definedName>
    <definedName name="CREDIT" localSheetId="0">#REF!</definedName>
    <definedName name="CREDIT">#REF!</definedName>
    <definedName name="CurReptgMo">[6]Input!$K$19</definedName>
    <definedName name="CurReptgYr">[6]Input!$K$21</definedName>
    <definedName name="D" localSheetId="0">#REF!</definedName>
    <definedName name="D">#REF!</definedName>
    <definedName name="data" localSheetId="0">#REF!</definedName>
    <definedName name="data">#REF!</definedName>
    <definedName name="data1" localSheetId="0">'[20]1'!#REF!</definedName>
    <definedName name="data1">'[7]1'!#REF!</definedName>
    <definedName name="DateTimeNow">[6]Input!$AE$12</definedName>
    <definedName name="DEBIT" localSheetId="0">#REF!</definedName>
    <definedName name="DEBIT">#REF!</definedName>
    <definedName name="Detail" localSheetId="0">#REF!</definedName>
    <definedName name="Detail">#REF!</definedName>
    <definedName name="ELEC_NET_OP_INC" localSheetId="0">#REF!</definedName>
    <definedName name="ELEC_NET_OP_INC">#REF!</definedName>
    <definedName name="ELIMS" localSheetId="0">#REF!</definedName>
    <definedName name="ELIMS">#REF!</definedName>
    <definedName name="EXHIB1A" localSheetId="0">'[21]#REF'!#REF!</definedName>
    <definedName name="EXHIB1A">'[8]#REF'!#REF!</definedName>
    <definedName name="EXHIB1B" localSheetId="0">#REF!</definedName>
    <definedName name="EXHIB1B">#REF!</definedName>
    <definedName name="EXHIB1C" localSheetId="0">#REF!</definedName>
    <definedName name="EXHIB1C">#REF!</definedName>
    <definedName name="EXHIB2B" localSheetId="0">'[22]Ex 2'!#REF!</definedName>
    <definedName name="EXHIB2B">'[9]Ex 2'!#REF!</definedName>
    <definedName name="EXHIB3" localSheetId="0">#REF!</definedName>
    <definedName name="EXHIB3">#REF!</definedName>
    <definedName name="EXHIB6" localSheetId="0">'[22]not used Ex 4'!#REF!</definedName>
    <definedName name="EXHIB6">'[9]not used Ex 4'!#REF!</definedName>
    <definedName name="F" localSheetId="0">#REF!</definedName>
    <definedName name="F">#REF!</definedName>
    <definedName name="Fac_2000" localSheetId="0">'[19]LGE Base Fuel &amp; FAC'!#REF!</definedName>
    <definedName name="Fac_2000">'[5]LGE Base Fuel &amp; FAC'!#REF!</definedName>
    <definedName name="fac_annual_ku" localSheetId="0">'[19]LGE Base Fuel &amp; FAC'!#REF!</definedName>
    <definedName name="fac_annual_ku">'[5]LGE Base Fuel &amp; FAC'!#REF!</definedName>
    <definedName name="fac_hide_ku_01" localSheetId="0">'[19]LGE Base Fuel &amp; FAC'!#REF!</definedName>
    <definedName name="fac_hide_ku_01">'[5]LGE Base Fuel &amp; FAC'!#REF!</definedName>
    <definedName name="fac_hide_lge_01" localSheetId="0">'[19]LGE Base Fuel &amp; FAC'!#REF!</definedName>
    <definedName name="fac_hide_lge_01">'[5]LGE Base Fuel &amp; FAC'!#REF!</definedName>
    <definedName name="fac_ku_01" localSheetId="0">'[19]LGE Base Fuel &amp; FAC'!#REF!</definedName>
    <definedName name="fac_ku_01">'[5]LGE Base Fuel &amp; FAC'!#REF!</definedName>
    <definedName name="FOOTER" localSheetId="0">#REF!</definedName>
    <definedName name="FOOTER">#REF!</definedName>
    <definedName name="FORECAST">"'IFPSReport'!R5C3:R5C14"</definedName>
    <definedName name="fuelcost" localSheetId="0">#REF!</definedName>
    <definedName name="fuelcost">#REF!</definedName>
    <definedName name="Gas_Annual_NetRev" localSheetId="0">#REF!</definedName>
    <definedName name="Gas_Annual_NetRev">#REF!</definedName>
    <definedName name="Gas_Annual_Revenue" localSheetId="0">#REF!</definedName>
    <definedName name="Gas_Annual_Revenue">#REF!</definedName>
    <definedName name="gas_data" localSheetId="0">#REF!</definedName>
    <definedName name="gas_data">#REF!</definedName>
    <definedName name="Gas_Monthly_NetRevenue" localSheetId="0">#REF!</definedName>
    <definedName name="Gas_Monthly_NetRevenue">#REF!</definedName>
    <definedName name="GAS_NET_OP_INC" localSheetId="0">#REF!</definedName>
    <definedName name="GAS_NET_OP_INC">#REF!</definedName>
    <definedName name="Gas_Sales_Revenues" localSheetId="0">#REF!</definedName>
    <definedName name="Gas_Sales_Revenues">#REF!</definedName>
    <definedName name="GenEx_Annual_KU" localSheetId="0">'[19]LGE Cost of Sales'!#REF!</definedName>
    <definedName name="GenEx_Annual_KU">'[5]LGE Cost of Sales'!#REF!</definedName>
    <definedName name="genex_hide_ku_01" localSheetId="0">'[19]LGE Cost of Sales'!#REF!</definedName>
    <definedName name="genex_hide_ku_01">'[5]LGE Cost of Sales'!#REF!</definedName>
    <definedName name="genex_hide_lge_01" localSheetId="0">'[19]LGE Cost of Sales'!#REF!</definedName>
    <definedName name="genex_hide_lge_01">'[5]LGE Cost of Sales'!#REF!</definedName>
    <definedName name="genex_ku_01" localSheetId="0">'[19]LGE Cost of Sales'!#REF!</definedName>
    <definedName name="genex_ku_01">'[5]LGE Cost of Sales'!#REF!</definedName>
    <definedName name="H" localSheetId="0">#REF!</definedName>
    <definedName name="H">#REF!</definedName>
    <definedName name="Home_KU" localSheetId="0">#REF!</definedName>
    <definedName name="Home_KU">#REF!</definedName>
    <definedName name="INPUT1" localSheetId="0">#REF!</definedName>
    <definedName name="INPUT1">#REF!</definedName>
    <definedName name="INPUT2" localSheetId="0">#REF!</definedName>
    <definedName name="INPUT2">#REF!</definedName>
    <definedName name="INPUTCOL" localSheetId="0">#REF!</definedName>
    <definedName name="INPUTCOL">#REF!</definedName>
    <definedName name="INPUTROW" localSheetId="0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UELIMBAL" localSheetId="0">#REF!</definedName>
    <definedName name="KUELIMBAL">#REF!</definedName>
    <definedName name="KUELIMCASH" localSheetId="0">#REF!</definedName>
    <definedName name="KUELIMCASH">#REF!</definedName>
    <definedName name="KUPWRGENIS" localSheetId="0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_12MonResults_Demand_Measured_Base">'[10]12MonResults'!$K$4:$K$459</definedName>
    <definedName name="L_12MonResults_RateClass">'[10]12MonResults'!$C$4:$C$459</definedName>
    <definedName name="LEC" localSheetId="0">#REF!</definedName>
    <definedName name="LEC">#REF!</definedName>
    <definedName name="LECBAL" localSheetId="0">#REF!</definedName>
    <definedName name="LECBAL">#REF!</definedName>
    <definedName name="LECCASH" localSheetId="0">#REF!</definedName>
    <definedName name="LECCASH">#REF!</definedName>
    <definedName name="LES" localSheetId="0">#REF!</definedName>
    <definedName name="LES">#REF!</definedName>
    <definedName name="LGE" localSheetId="0">#REF!</definedName>
    <definedName name="LGE">#REF!</definedName>
    <definedName name="LNGCL" localSheetId="0">#REF!</definedName>
    <definedName name="LNGCL">#REF!</definedName>
    <definedName name="Losses_by_State" localSheetId="0">#REF!</definedName>
    <definedName name="Losses_by_State">#REF!</definedName>
    <definedName name="LOUPHONECOBAL" localSheetId="0">#REF!</definedName>
    <definedName name="LOUPHONECOBAL">#REF!</definedName>
    <definedName name="LOUPHONECOCASH" localSheetId="0">#REF!</definedName>
    <definedName name="LOUPHONECOCASH">#REF!</definedName>
    <definedName name="LOUPHONECOIS" localSheetId="0">#REF!</definedName>
    <definedName name="LOUPHONECOIS">#REF!</definedName>
    <definedName name="LPI" localSheetId="0">#REF!</definedName>
    <definedName name="LPI">#REF!</definedName>
    <definedName name="MAIN" localSheetId="0">#REF!</definedName>
    <definedName name="MAIN">#REF!</definedName>
    <definedName name="MESG1" localSheetId="0">#REF!</definedName>
    <definedName name="MESG1">#REF!</definedName>
    <definedName name="MESG2" localSheetId="0">#REF!</definedName>
    <definedName name="MESG2">#REF!</definedName>
    <definedName name="MONTH_NAME" localSheetId="0">#REF!</definedName>
    <definedName name="MONTH_NAME">#REF!</definedName>
    <definedName name="MONTHCOUNT" localSheetId="0">#REF!</definedName>
    <definedName name="MONTHCOUNT">#REF!</definedName>
    <definedName name="NATURAL" localSheetId="0">#REF!</definedName>
    <definedName name="NATURAL">#REF!</definedName>
    <definedName name="NET_OP_INC" localSheetId="0">#REF!</definedName>
    <definedName name="NET_OP_INC">#REF!</definedName>
    <definedName name="Net_Revenues" localSheetId="0">#REF!</definedName>
    <definedName name="Net_Revenues">#REF!</definedName>
    <definedName name="Net_Unbilled_KWh" localSheetId="0">#REF!</definedName>
    <definedName name="Net_Unbilled_KWh">#REF!</definedName>
    <definedName name="Net_Unbilled_Revenue_Dollars" localSheetId="0">#REF!</definedName>
    <definedName name="Net_Unbilled_Revenue_Dollars">#REF!</definedName>
    <definedName name="netrev_hide_ku_01" localSheetId="0">'[19]LGE Gross Margin-Inc.Stmt'!#REF!</definedName>
    <definedName name="netrev_hide_ku_01">'[5]LGE Gross Margin-Inc.Stmt'!#REF!</definedName>
    <definedName name="netrev_hide_lge_01" localSheetId="0">'[19]LGE Gross Margin-Inc.Stmt'!#REF!</definedName>
    <definedName name="netrev_hide_lge_01">'[5]LGE Gross Margin-Inc.Stmt'!#REF!</definedName>
    <definedName name="netrev_ku_01" localSheetId="0">'[19]LGE Gross Margin-Inc.Stmt'!#REF!</definedName>
    <definedName name="netrev_ku_01">'[5]LGE Gross Margin-Inc.Stmt'!#REF!</definedName>
    <definedName name="NetRevenue_Annual_KU" localSheetId="0">'[19]LGE Gross Margin-Inc.Stmt'!#REF!</definedName>
    <definedName name="NetRevenue_Annual_KU">'[5]LGE Gross Margin-Inc.Stmt'!#REF!</definedName>
    <definedName name="NetRevenues" localSheetId="0">#REF!</definedName>
    <definedName name="NetRevenues">#REF!</definedName>
    <definedName name="NextReptgMo">[6]Input!$AE$19</definedName>
    <definedName name="NextReptgYr">[6]Input!$AE$21</definedName>
    <definedName name="Operating_Revenue_Dollars" localSheetId="0">#REF!</definedName>
    <definedName name="Operating_Revenue_Dollars">#REF!</definedName>
    <definedName name="Operating_Sales__KWh" localSheetId="0">#REF!</definedName>
    <definedName name="Operating_Sales__KWh">#REF!</definedName>
    <definedName name="PAGE" localSheetId="0">#REF!</definedName>
    <definedName name="PAGE">#REF!</definedName>
    <definedName name="PAGE10" localSheetId="0">#REF!</definedName>
    <definedName name="PAGE10">#REF!</definedName>
    <definedName name="PAGE1B" localSheetId="0">[17]d20!#REF!</definedName>
    <definedName name="PAGE1B">[3]d20!#REF!</definedName>
    <definedName name="PAGE7" localSheetId="0">#REF!</definedName>
    <definedName name="PAGE7">#REF!</definedName>
    <definedName name="page8" localSheetId="0">#REF!</definedName>
    <definedName name="page8">#REF!</definedName>
    <definedName name="PAGE9" localSheetId="0">#REF!</definedName>
    <definedName name="PAGE9">#REF!</definedName>
    <definedName name="PgFERC_449" localSheetId="0">#REF!</definedName>
    <definedName name="PgFERC_449">#REF!</definedName>
    <definedName name="Plan" localSheetId="0">#REF!</definedName>
    <definedName name="Plan">#REF!</definedName>
    <definedName name="_xlnm.Print_Area" localSheetId="2">'TODS Unit Costs (As-Filed)'!$A$1:$K$63</definedName>
    <definedName name="PRINT1" localSheetId="0">#REF!</definedName>
    <definedName name="PRINT1">#REF!</definedName>
    <definedName name="PWRGENBAL" localSheetId="0">#REF!</definedName>
    <definedName name="PWRGENBAL">#REF!</definedName>
    <definedName name="PWRGENCASH" localSheetId="0">#REF!</definedName>
    <definedName name="PWRGENCASH">#REF!</definedName>
    <definedName name="QtrbyMonth" localSheetId="0">#REF!</definedName>
    <definedName name="QtrbyMonth">#REF!</definedName>
    <definedName name="RangeRptgMo" localSheetId="0">[23]Main!$K$11</definedName>
    <definedName name="RangeRptgMo">[11]Main!$K$11</definedName>
    <definedName name="RangeRptgYr" localSheetId="0">[24]Main!$G$5</definedName>
    <definedName name="RangeRptgYr">[12]Main!$G$5</definedName>
    <definedName name="REPORT" localSheetId="0">#REF!</definedName>
    <definedName name="REPORT">#REF!</definedName>
    <definedName name="ReportTitle1" localSheetId="0">#REF!</definedName>
    <definedName name="ReportTitle1">#REF!</definedName>
    <definedName name="require_hide_ku_01" localSheetId="0">'[19]LGE Require &amp; Source'!#REF!</definedName>
    <definedName name="require_hide_ku_01">'[5]LGE Require &amp; Source'!#REF!</definedName>
    <definedName name="require_hide_lge_01" localSheetId="0">'[19]LGE Require &amp; Source'!#REF!</definedName>
    <definedName name="require_hide_lge_01">'[5]LGE Require &amp; Source'!#REF!</definedName>
    <definedName name="require_ku_01" localSheetId="0">'[19]LGE Require &amp; Source'!#REF!</definedName>
    <definedName name="require_ku_01">'[5]LGE Require &amp; Source'!#REF!</definedName>
    <definedName name="Requirements_Annual_KU" localSheetId="0">'[19]LGE Require &amp; Source'!#REF!</definedName>
    <definedName name="Requirements_Annual_KU">'[5]LGE Require &amp; Source'!#REF!</definedName>
    <definedName name="Requirements_Data" localSheetId="0">'[19]LGE Require &amp; Source'!#REF!</definedName>
    <definedName name="Requirements_Data">'[5]LGE Require &amp; Source'!#REF!</definedName>
    <definedName name="Requirements_KU" localSheetId="0">'[19]LGE Require &amp; Source'!#REF!</definedName>
    <definedName name="Requirements_KU">'[5]LGE Require &amp; Source'!#REF!</definedName>
    <definedName name="RevCol01" localSheetId="0">#REF!</definedName>
    <definedName name="RevCol01">#REF!</definedName>
    <definedName name="RevCol01A" localSheetId="0">#REF!</definedName>
    <definedName name="RevCol01A">#REF!</definedName>
    <definedName name="RevCol01B" localSheetId="0">#REF!</definedName>
    <definedName name="RevCol01B">[13]RevDatabase!#REF!</definedName>
    <definedName name="RevCol02" localSheetId="0">#REF!</definedName>
    <definedName name="RevCol02">#REF!</definedName>
    <definedName name="RevCol02A" localSheetId="0">#REF!</definedName>
    <definedName name="RevCol02A">#REF!</definedName>
    <definedName name="RevCol02B" localSheetId="0">#REF!</definedName>
    <definedName name="RevCol02B">[13]RevDatabase!#REF!</definedName>
    <definedName name="RevCol03" localSheetId="0">#REF!</definedName>
    <definedName name="RevCol03">#REF!</definedName>
    <definedName name="RevCol04" localSheetId="0">#REF!</definedName>
    <definedName name="RevCol04">#REF!</definedName>
    <definedName name="RevCol05" localSheetId="0">#REF!</definedName>
    <definedName name="RevCol05">#REF!</definedName>
    <definedName name="RevCol06" localSheetId="0">#REF!</definedName>
    <definedName name="RevCol06">#REF!</definedName>
    <definedName name="RevCol07" localSheetId="0">#REF!</definedName>
    <definedName name="RevCol07">#REF!</definedName>
    <definedName name="RevCol08" localSheetId="0">#REF!</definedName>
    <definedName name="RevCol08">#REF!</definedName>
    <definedName name="RevCol09" localSheetId="0">#REF!</definedName>
    <definedName name="RevCol09">#REF!</definedName>
    <definedName name="RevCol10" localSheetId="0">#REF!</definedName>
    <definedName name="RevCol10">#REF!</definedName>
    <definedName name="RevCol11" localSheetId="0">#REF!</definedName>
    <definedName name="RevCol11">#REF!</definedName>
    <definedName name="RevCol12" localSheetId="0">#REF!</definedName>
    <definedName name="RevCol12">#REF!</definedName>
    <definedName name="RevCol13" localSheetId="0">#REF!</definedName>
    <definedName name="RevCol13">#REF!</definedName>
    <definedName name="RevCol14" localSheetId="0">#REF!</definedName>
    <definedName name="RevCol14">#REF!</definedName>
    <definedName name="RevCol15" localSheetId="0">#REF!</definedName>
    <definedName name="RevCol15">#REF!</definedName>
    <definedName name="RevCol16" localSheetId="0">#REF!</definedName>
    <definedName name="RevCol16">#REF!</definedName>
    <definedName name="RevCol17" localSheetId="0">#REF!</definedName>
    <definedName name="RevCol17">#REF!</definedName>
    <definedName name="RevCol18" localSheetId="0">#REF!</definedName>
    <definedName name="RevCol18">#REF!</definedName>
    <definedName name="RevCol19" localSheetId="0">#REF!</definedName>
    <definedName name="RevCol19">#REF!</definedName>
    <definedName name="RevCol20" localSheetId="0">#REF!</definedName>
    <definedName name="RevCol20">#REF!</definedName>
    <definedName name="RevCol21" localSheetId="0">#REF!</definedName>
    <definedName name="RevCol21">#REF!</definedName>
    <definedName name="RevCol22" localSheetId="0">#REF!</definedName>
    <definedName name="RevCol22">#REF!</definedName>
    <definedName name="RevCol23" localSheetId="0">#REF!</definedName>
    <definedName name="RevCol23">#REF!</definedName>
    <definedName name="RevCol24" localSheetId="0">#REF!</definedName>
    <definedName name="RevCol24">#REF!</definedName>
    <definedName name="RevCol25" localSheetId="0">#REF!</definedName>
    <definedName name="RevCol25">#REF!</definedName>
    <definedName name="RevCol26" localSheetId="0">#REF!</definedName>
    <definedName name="RevCol26">#REF!</definedName>
    <definedName name="RevCol27" localSheetId="0">#REF!</definedName>
    <definedName name="RevCol27">#REF!</definedName>
    <definedName name="RevCol28" localSheetId="0">#REF!</definedName>
    <definedName name="RevCol28">#REF!</definedName>
    <definedName name="RevCol29" localSheetId="0">#REF!</definedName>
    <definedName name="RevCol29">#REF!</definedName>
    <definedName name="RevCol30" localSheetId="0">#REF!</definedName>
    <definedName name="RevCol30">#REF!</definedName>
    <definedName name="RevCol31" localSheetId="0">#REF!</definedName>
    <definedName name="RevCol31">#REF!</definedName>
    <definedName name="RevCol32" localSheetId="0">#REF!</definedName>
    <definedName name="RevCol32">#REF!</definedName>
    <definedName name="RevCol33" localSheetId="0">#REF!</definedName>
    <definedName name="RevCol33">#REF!</definedName>
    <definedName name="RevCol34" localSheetId="0">#REF!</definedName>
    <definedName name="RevCol34">#REF!</definedName>
    <definedName name="RevCol35" localSheetId="0">#REF!</definedName>
    <definedName name="RevCol35">#REF!</definedName>
    <definedName name="RevCol36" localSheetId="0">#REF!</definedName>
    <definedName name="RevCol36">#REF!</definedName>
    <definedName name="RevCol37" localSheetId="0">#REF!</definedName>
    <definedName name="RevCol37">#REF!</definedName>
    <definedName name="RevColTmp" localSheetId="0">#REF!</definedName>
    <definedName name="RevColTmp">[13]RevDatabase!#REF!</definedName>
    <definedName name="RevColTmpA" localSheetId="0">#REF!</definedName>
    <definedName name="RevColTmpA">[13]RevDatabase!#REF!</definedName>
    <definedName name="RevColTmpB" localSheetId="0">#REF!</definedName>
    <definedName name="RevColTmpB">[13]RevDatabase!#REF!</definedName>
    <definedName name="revenues_hide_ku_01" localSheetId="0">'[19]KU Other Electric Revenues'!#REF!</definedName>
    <definedName name="revenues_hide_ku_01">'[5]KU Other Electric Revenues'!#REF!</definedName>
    <definedName name="revenues_ku_01" localSheetId="0">'[19]KU Other Electric Revenues'!#REF!</definedName>
    <definedName name="revenues_ku_01">'[5]KU Other Electric Revenues'!#REF!</definedName>
    <definedName name="RowDetails1" localSheetId="0">#REF!</definedName>
    <definedName name="RowDetails1">#REF!</definedName>
    <definedName name="RPTCOL" localSheetId="0">#REF!</definedName>
    <definedName name="RPTCOL">#REF!</definedName>
    <definedName name="RPTROW" localSheetId="0">#REF!</definedName>
    <definedName name="RPTROW">#REF!</definedName>
    <definedName name="Sales" localSheetId="0">'[19]LGE Sales'!#REF!</definedName>
    <definedName name="Sales">'[5]LGE Sales'!#REF!</definedName>
    <definedName name="sales_hide_ku_01" localSheetId="0">'[19]LGE Sales'!#REF!</definedName>
    <definedName name="sales_hide_ku_01">'[5]LGE Sales'!#REF!</definedName>
    <definedName name="sales_ku_01" localSheetId="0">'[19]LGE Sales'!#REF!</definedName>
    <definedName name="sales_ku_01">'[5]LGE Sales'!#REF!</definedName>
    <definedName name="sales_title_ku" localSheetId="0">'[19]LGE Sales'!#REF!</definedName>
    <definedName name="sales_title_ku">'[5]LGE Sales'!#REF!</definedName>
    <definedName name="SCHEDZ" localSheetId="0">#REF!</definedName>
    <definedName name="SCHEDZ">#REF!</definedName>
    <definedName name="shoot" localSheetId="0">#REF!</definedName>
    <definedName name="shoot">#REF!</definedName>
    <definedName name="START" localSheetId="0">#REF!</definedName>
    <definedName name="START">#REF!</definedName>
    <definedName name="START2" localSheetId="0">#REF!</definedName>
    <definedName name="START2">#REF!</definedName>
    <definedName name="START3" localSheetId="0">#REF!</definedName>
    <definedName name="START3">#REF!</definedName>
    <definedName name="Support" localSheetId="0">#REF!</definedName>
    <definedName name="Support">#REF!</definedName>
    <definedName name="SUPPORT5" localSheetId="0">#REF!</definedName>
    <definedName name="SUPPORT5">#REF!</definedName>
    <definedName name="SUPPORT6" localSheetId="0">#REF!</definedName>
    <definedName name="SUPPORT6">#REF!</definedName>
    <definedName name="TAX_RATE" localSheetId="0">'[21]#REF'!#REF!</definedName>
    <definedName name="TAX_RATE">'[8]#REF'!#REF!</definedName>
    <definedName name="TempReptgMo">[6]Input!$AG$19</definedName>
    <definedName name="TempReptgYr">[6]Input!$AG$21</definedName>
    <definedName name="TenyrNIAC" localSheetId="0">#REF!</definedName>
    <definedName name="TenyrNIAC">#REF!</definedName>
    <definedName name="TenyrRev" localSheetId="0">#REF!</definedName>
    <definedName name="TenyrRev">#REF!</definedName>
    <definedName name="test" localSheetId="0">'TODS Bill Comparison'!test</definedName>
    <definedName name="test">[0]!test</definedName>
    <definedName name="Title" localSheetId="0">#REF!</definedName>
    <definedName name="Title">#REF!</definedName>
    <definedName name="Title_Choice" localSheetId="0">#REF!</definedName>
    <definedName name="Title_Choice">#REF!</definedName>
    <definedName name="Titles" localSheetId="0">#REF!</definedName>
    <definedName name="Titles">#REF!</definedName>
    <definedName name="Titles_KU" localSheetId="0">#REF!</definedName>
    <definedName name="Titles_KU">#REF!</definedName>
    <definedName name="ttt" localSheetId="0">#REF!</definedName>
    <definedName name="ttt">#REF!</definedName>
    <definedName name="UpdateDate">[6]Input!$M$12</definedName>
    <definedName name="UpdateTime">[6]Input!$O$12</definedName>
    <definedName name="Variance" localSheetId="0">#REF!</definedName>
    <definedName name="Variance">#REF!</definedName>
    <definedName name="VIEW1" localSheetId="0">#REF!</definedName>
    <definedName name="VIEW1">#REF!</definedName>
    <definedName name="vol_rev_annual_ku" localSheetId="0">'[19]LGE Retail Margin'!#REF!</definedName>
    <definedName name="vol_rev_annual_ku">'[5]LGE Retail Margin'!#REF!</definedName>
    <definedName name="vol_rev_hide_ku_monthly" localSheetId="0">'[19]LGE Retail Margin'!#REF!</definedName>
    <definedName name="vol_rev_hide_ku_monthly">'[5]LGE Retail Margin'!#REF!</definedName>
    <definedName name="vol_rev_hide_lge_01" localSheetId="0">'[19]LGE Retail Margin'!#REF!</definedName>
    <definedName name="vol_rev_hide_lge_01">'[5]LGE Retail Margin'!#REF!</definedName>
    <definedName name="vol_rev_ku_monthly" localSheetId="0">'[19]LGE Retail Margin'!#REF!</definedName>
    <definedName name="vol_rev_ku_monthly">'[5]LGE Retail Margin'!#REF!</definedName>
    <definedName name="volrev_data">'[5]LGE Retail Margin'!#REF!</definedName>
    <definedName name="YTD" localSheetId="0">#REF!</definedName>
    <definedName name="YT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F11" i="4" s="1"/>
  <c r="E14" i="4"/>
  <c r="E8" i="4"/>
  <c r="B11" i="4"/>
  <c r="C11" i="4" s="1"/>
  <c r="B14" i="4"/>
  <c r="C14" i="4" s="1"/>
  <c r="B8" i="4"/>
  <c r="H37" i="4"/>
  <c r="H43" i="4" s="1"/>
  <c r="H44" i="4" s="1"/>
  <c r="G37" i="4"/>
  <c r="G43" i="4" s="1"/>
  <c r="G44" i="4" s="1"/>
  <c r="F37" i="4"/>
  <c r="F43" i="4" s="1"/>
  <c r="F44" i="4" s="1"/>
  <c r="E37" i="4"/>
  <c r="E43" i="4" s="1"/>
  <c r="E44" i="4" s="1"/>
  <c r="D37" i="4"/>
  <c r="D43" i="4" s="1"/>
  <c r="D44" i="4" s="1"/>
  <c r="C37" i="4"/>
  <c r="C43" i="4" s="1"/>
  <c r="C44" i="4" s="1"/>
  <c r="B37" i="4"/>
  <c r="B43" i="4" s="1"/>
  <c r="J36" i="4"/>
  <c r="J35" i="4"/>
  <c r="J34" i="4"/>
  <c r="J33" i="4"/>
  <c r="J32" i="4"/>
  <c r="J31" i="4"/>
  <c r="J38" i="4" s="1"/>
  <c r="C24" i="4" s="1"/>
  <c r="J30" i="4"/>
  <c r="D24" i="4"/>
  <c r="F14" i="4"/>
  <c r="I34" i="3"/>
  <c r="I36" i="3" s="1"/>
  <c r="I41" i="3" s="1"/>
  <c r="I49" i="3" s="1"/>
  <c r="K24" i="3"/>
  <c r="K25" i="3" s="1"/>
  <c r="E16" i="4" s="1"/>
  <c r="K21" i="3"/>
  <c r="K22" i="3" s="1"/>
  <c r="E13" i="4" s="1"/>
  <c r="K18" i="3"/>
  <c r="K19" i="3" s="1"/>
  <c r="E10" i="4" s="1"/>
  <c r="G10" i="4" s="1"/>
  <c r="F24" i="3"/>
  <c r="F25" i="3" s="1"/>
  <c r="B16" i="4" s="1"/>
  <c r="F21" i="3"/>
  <c r="F22" i="3" s="1"/>
  <c r="B13" i="4" s="1"/>
  <c r="F18" i="3"/>
  <c r="F19" i="3" s="1"/>
  <c r="B10" i="4" s="1"/>
  <c r="D59" i="2"/>
  <c r="D58" i="2"/>
  <c r="D57" i="2"/>
  <c r="D60" i="2" s="1"/>
  <c r="D25" i="3"/>
  <c r="D24" i="3"/>
  <c r="D22" i="3"/>
  <c r="D21" i="3"/>
  <c r="D19" i="3"/>
  <c r="D18" i="3"/>
  <c r="J51" i="2"/>
  <c r="I51" i="2"/>
  <c r="H51" i="2"/>
  <c r="F51" i="2"/>
  <c r="C49" i="2"/>
  <c r="J46" i="2"/>
  <c r="J47" i="2" s="1"/>
  <c r="F46" i="2"/>
  <c r="D46" i="2"/>
  <c r="D45" i="2"/>
  <c r="G45" i="2" s="1"/>
  <c r="D44" i="2"/>
  <c r="F44" i="2" s="1"/>
  <c r="D43" i="2"/>
  <c r="D47" i="2" s="1"/>
  <c r="D39" i="2"/>
  <c r="K37" i="2"/>
  <c r="L37" i="2" s="1"/>
  <c r="E37" i="2"/>
  <c r="H36" i="2"/>
  <c r="D36" i="2"/>
  <c r="H35" i="2"/>
  <c r="H39" i="2" s="1"/>
  <c r="K34" i="2"/>
  <c r="L34" i="2" s="1"/>
  <c r="G34" i="2"/>
  <c r="F33" i="2"/>
  <c r="K33" i="2" s="1"/>
  <c r="L33" i="2" s="1"/>
  <c r="K32" i="2"/>
  <c r="L32" i="2" s="1"/>
  <c r="E32" i="2"/>
  <c r="D31" i="2"/>
  <c r="E31" i="2" s="1"/>
  <c r="I30" i="2"/>
  <c r="H30" i="2"/>
  <c r="G30" i="2"/>
  <c r="F30" i="2"/>
  <c r="K30" i="2" s="1"/>
  <c r="L30" i="2" s="1"/>
  <c r="E30" i="2"/>
  <c r="D30" i="2"/>
  <c r="I29" i="2"/>
  <c r="H29" i="2"/>
  <c r="G29" i="2"/>
  <c r="E29" i="2"/>
  <c r="K29" i="2" s="1"/>
  <c r="L29" i="2" s="1"/>
  <c r="D29" i="2"/>
  <c r="J28" i="2"/>
  <c r="I28" i="2"/>
  <c r="H28" i="2"/>
  <c r="G28" i="2"/>
  <c r="F28" i="2"/>
  <c r="E28" i="2"/>
  <c r="K28" i="2" s="1"/>
  <c r="L28" i="2" s="1"/>
  <c r="D28" i="2"/>
  <c r="D26" i="2"/>
  <c r="I22" i="2"/>
  <c r="D22" i="2"/>
  <c r="D18" i="2"/>
  <c r="E18" i="2" s="1"/>
  <c r="D16" i="2"/>
  <c r="K14" i="2"/>
  <c r="J31" i="2" s="1"/>
  <c r="J14" i="2"/>
  <c r="J15" i="2" s="1"/>
  <c r="J16" i="2" s="1"/>
  <c r="I14" i="2"/>
  <c r="H14" i="2"/>
  <c r="H22" i="2" s="1"/>
  <c r="G14" i="2"/>
  <c r="G36" i="2" s="1"/>
  <c r="F14" i="2"/>
  <c r="F15" i="2" s="1"/>
  <c r="E14" i="2"/>
  <c r="E46" i="2" s="1"/>
  <c r="D14" i="2"/>
  <c r="B12" i="4" l="1"/>
  <c r="L18" i="3"/>
  <c r="B15" i="4"/>
  <c r="E15" i="4"/>
  <c r="E12" i="4"/>
  <c r="B9" i="4"/>
  <c r="D9" i="4" s="1"/>
  <c r="D10" i="4"/>
  <c r="E9" i="4"/>
  <c r="G9" i="4" s="1"/>
  <c r="C8" i="4"/>
  <c r="C17" i="4" s="1"/>
  <c r="G15" i="4"/>
  <c r="B44" i="4"/>
  <c r="J43" i="4"/>
  <c r="J45" i="4" s="1"/>
  <c r="F8" i="4"/>
  <c r="F17" i="4" s="1"/>
  <c r="D25" i="4"/>
  <c r="D26" i="4"/>
  <c r="G16" i="4" s="1"/>
  <c r="L24" i="3"/>
  <c r="L25" i="3" s="1"/>
  <c r="L21" i="3"/>
  <c r="L22" i="3" s="1"/>
  <c r="L19" i="3"/>
  <c r="G24" i="3"/>
  <c r="G25" i="3" s="1"/>
  <c r="G21" i="3"/>
  <c r="G22" i="3" s="1"/>
  <c r="D62" i="2"/>
  <c r="D63" i="2" s="1"/>
  <c r="G18" i="3"/>
  <c r="G39" i="2"/>
  <c r="K44" i="2"/>
  <c r="L44" i="2" s="1"/>
  <c r="F47" i="2"/>
  <c r="F18" i="2"/>
  <c r="K45" i="2"/>
  <c r="L45" i="2" s="1"/>
  <c r="L14" i="2"/>
  <c r="J22" i="2"/>
  <c r="G31" i="2"/>
  <c r="I35" i="2"/>
  <c r="I36" i="2"/>
  <c r="G46" i="2"/>
  <c r="K46" i="2" s="1"/>
  <c r="L46" i="2" s="1"/>
  <c r="E15" i="2"/>
  <c r="D20" i="2"/>
  <c r="D24" i="2" s="1"/>
  <c r="D41" i="2" s="1"/>
  <c r="D49" i="2" s="1"/>
  <c r="H31" i="2"/>
  <c r="J36" i="2"/>
  <c r="J39" i="2" s="1"/>
  <c r="F39" i="2"/>
  <c r="H46" i="2"/>
  <c r="H47" i="2" s="1"/>
  <c r="I31" i="2"/>
  <c r="E43" i="2"/>
  <c r="I46" i="2"/>
  <c r="I47" i="2" s="1"/>
  <c r="F16" i="2"/>
  <c r="H15" i="2"/>
  <c r="H16" i="2" s="1"/>
  <c r="F22" i="2"/>
  <c r="E36" i="2"/>
  <c r="K36" i="2" s="1"/>
  <c r="L36" i="2" s="1"/>
  <c r="F31" i="2"/>
  <c r="K31" i="2" s="1"/>
  <c r="L31" i="2" s="1"/>
  <c r="E16" i="2"/>
  <c r="E20" i="2" s="1"/>
  <c r="E22" i="2"/>
  <c r="I15" i="2"/>
  <c r="I16" i="2" s="1"/>
  <c r="G22" i="2"/>
  <c r="F36" i="2"/>
  <c r="G15" i="2"/>
  <c r="G16" i="2" s="1"/>
  <c r="L34" i="3" l="1"/>
  <c r="L36" i="3" s="1"/>
  <c r="L41" i="3" s="1"/>
  <c r="L49" i="3" s="1"/>
  <c r="G19" i="3"/>
  <c r="G34" i="3" s="1"/>
  <c r="G36" i="3" s="1"/>
  <c r="G41" i="3" s="1"/>
  <c r="G49" i="3" s="1"/>
  <c r="D12" i="4"/>
  <c r="D13" i="4"/>
  <c r="G12" i="4"/>
  <c r="G13" i="4"/>
  <c r="D16" i="4"/>
  <c r="D15" i="4"/>
  <c r="E24" i="2"/>
  <c r="K43" i="2"/>
  <c r="L43" i="2" s="1"/>
  <c r="E47" i="2"/>
  <c r="K47" i="2" s="1"/>
  <c r="L47" i="2" s="1"/>
  <c r="K15" i="2"/>
  <c r="G47" i="2"/>
  <c r="K22" i="2"/>
  <c r="L22" i="2" s="1"/>
  <c r="G18" i="2"/>
  <c r="F20" i="2"/>
  <c r="F24" i="2" s="1"/>
  <c r="I39" i="2"/>
  <c r="E39" i="2"/>
  <c r="K39" i="2" s="1"/>
  <c r="L39" i="2" s="1"/>
  <c r="K35" i="2"/>
  <c r="L35" i="2" s="1"/>
  <c r="L51" i="3" l="1"/>
  <c r="L52" i="3" s="1"/>
  <c r="G17" i="4"/>
  <c r="G18" i="4" s="1"/>
  <c r="G19" i="4" s="1"/>
  <c r="D17" i="4"/>
  <c r="D18" i="4" s="1"/>
  <c r="D19" i="4" s="1"/>
  <c r="L15" i="2"/>
  <c r="K16" i="2"/>
  <c r="L16" i="2" s="1"/>
  <c r="H18" i="2"/>
  <c r="G20" i="2"/>
  <c r="G24" i="2" s="1"/>
  <c r="H20" i="2" l="1"/>
  <c r="H24" i="2" s="1"/>
  <c r="I18" i="2"/>
  <c r="I20" i="2" l="1"/>
  <c r="J18" i="2"/>
  <c r="J20" i="2" s="1"/>
  <c r="J24" i="2" s="1"/>
  <c r="I24" i="2" l="1"/>
  <c r="K20" i="2"/>
  <c r="L20" i="2" s="1"/>
  <c r="K24" i="2" l="1"/>
  <c r="L24" i="2" l="1"/>
  <c r="E26" i="2"/>
  <c r="F26" i="2"/>
  <c r="F41" i="2" s="1"/>
  <c r="F49" i="2" s="1"/>
  <c r="F53" i="2" s="1"/>
  <c r="K57" i="2" s="1"/>
  <c r="G26" i="2"/>
  <c r="G41" i="2" s="1"/>
  <c r="G49" i="2" s="1"/>
  <c r="G53" i="2" s="1"/>
  <c r="H26" i="2"/>
  <c r="H41" i="2" s="1"/>
  <c r="H49" i="2" s="1"/>
  <c r="H53" i="2" s="1"/>
  <c r="J26" i="2"/>
  <c r="J41" i="2" s="1"/>
  <c r="J49" i="2" s="1"/>
  <c r="J53" i="2" s="1"/>
  <c r="I26" i="2"/>
  <c r="I41" i="2" s="1"/>
  <c r="I49" i="2" s="1"/>
  <c r="I53" i="2" s="1"/>
  <c r="K55" i="2" l="1"/>
  <c r="K53" i="2"/>
  <c r="K26" i="2"/>
  <c r="L26" i="2" s="1"/>
  <c r="E41" i="2"/>
  <c r="K41" i="2" l="1"/>
  <c r="L41" i="2" s="1"/>
  <c r="E49" i="2"/>
  <c r="E53" i="2" l="1"/>
  <c r="K56" i="2" s="1"/>
  <c r="K49" i="2"/>
  <c r="L49" i="2" s="1"/>
</calcChain>
</file>

<file path=xl/sharedStrings.xml><?xml version="1.0" encoding="utf-8"?>
<sst xmlns="http://schemas.openxmlformats.org/spreadsheetml/2006/main" count="259" uniqueCount="172">
  <si>
    <t>SCHEDULE M-2.3-E</t>
  </si>
  <si>
    <t>Page 8 Of 26</t>
  </si>
  <si>
    <t>WITNESS:   W. S. SEELYE</t>
  </si>
  <si>
    <t>Current Rates</t>
  </si>
  <si>
    <t>Reflecting Elimination of ECR Projects</t>
  </si>
  <si>
    <t xml:space="preserve">Calculated </t>
  </si>
  <si>
    <t>Customer Days</t>
  </si>
  <si>
    <t>Demand</t>
  </si>
  <si>
    <t>Total</t>
  </si>
  <si>
    <t xml:space="preserve">Unit </t>
  </si>
  <si>
    <t xml:space="preserve">Revenue at </t>
  </si>
  <si>
    <t>Calculated Revenue</t>
  </si>
  <si>
    <t>Proposed</t>
  </si>
  <si>
    <t>kVA</t>
  </si>
  <si>
    <t>kWh</t>
  </si>
  <si>
    <t>Charges</t>
  </si>
  <si>
    <t>After ECR Project Elim</t>
  </si>
  <si>
    <t>Rates</t>
  </si>
  <si>
    <t>Proposed Rates</t>
  </si>
  <si>
    <t>TIME OF DAY SECONDARY SERVICE RATE TODS</t>
  </si>
  <si>
    <t>Basic Service Charge, Daily</t>
  </si>
  <si>
    <t>Energy Charge</t>
  </si>
  <si>
    <t>Demand kVA Base</t>
  </si>
  <si>
    <t>Demand kVA Intermediate</t>
  </si>
  <si>
    <t>Demand kVA Peak</t>
  </si>
  <si>
    <t>Redundant Capacity Rider</t>
  </si>
  <si>
    <t>Solar Energy Credit (Total Base Energy Charge)</t>
  </si>
  <si>
    <t>Solar Energy Credit (SQF Charge)</t>
  </si>
  <si>
    <t>Economic Development Rider - Base</t>
  </si>
  <si>
    <t>Economic Development Rider - Intermediate</t>
  </si>
  <si>
    <t>Economic Development Rider - Peak</t>
  </si>
  <si>
    <t>Total Calculated at Base Rates</t>
  </si>
  <si>
    <t>Correction Factor</t>
  </si>
  <si>
    <t>Total After Application of Correction Factor</t>
  </si>
  <si>
    <t>Adjustment to Reflect Removal of Base ECR Revenue</t>
  </si>
  <si>
    <t>Adjustment to Reflect ECR Project Elimination</t>
  </si>
  <si>
    <t>Total Base Revenues Net of ECR</t>
  </si>
  <si>
    <t>FAC Mechanism Revenue</t>
  </si>
  <si>
    <t>DSM Mechanism Revenue</t>
  </si>
  <si>
    <t>ECR Mechanism Revenue</t>
  </si>
  <si>
    <t>OSS Mechanism Revenue</t>
  </si>
  <si>
    <t>ECR Base Revenue</t>
  </si>
  <si>
    <t>Total Revenues</t>
  </si>
  <si>
    <t>Proposed Change</t>
  </si>
  <si>
    <t>Percentage Change</t>
  </si>
  <si>
    <t>DATA:  ____ BASE PERIOD  __X__  FORECAST PERIOD</t>
  </si>
  <si>
    <t>TYPE OF FILING: __X__ ORIGINAL  _____ UPDATED  _____ REVISED</t>
  </si>
  <si>
    <t>WORK PAPER REFERENCE NO(S):</t>
  </si>
  <si>
    <t>Louisville Gas and Electric Company</t>
  </si>
  <si>
    <t>Unit Cost of Service Based on the Cost of Service Study</t>
  </si>
  <si>
    <t>For the 12 Months Ended June 30, 2022</t>
  </si>
  <si>
    <t>Rate TOD Secondary</t>
  </si>
  <si>
    <t>Production</t>
  </si>
  <si>
    <t>Transmission</t>
  </si>
  <si>
    <t>Distribution</t>
  </si>
  <si>
    <t>Customer Service Expenses</t>
  </si>
  <si>
    <t>Description</t>
  </si>
  <si>
    <t>Reference</t>
  </si>
  <si>
    <t>Amount</t>
  </si>
  <si>
    <t>Demand-Related</t>
  </si>
  <si>
    <t>Energy-Related</t>
  </si>
  <si>
    <t>Customer-Related</t>
  </si>
  <si>
    <t>Check</t>
  </si>
  <si>
    <t>(1)</t>
  </si>
  <si>
    <t>Rate Base</t>
  </si>
  <si>
    <t>(2)</t>
  </si>
  <si>
    <t>Rate Base Adjustments</t>
  </si>
  <si>
    <t>(3)</t>
  </si>
  <si>
    <t>Rate Base as Adjusted</t>
  </si>
  <si>
    <t>(4)</t>
  </si>
  <si>
    <t>Rate of Return</t>
  </si>
  <si>
    <t>(5)</t>
  </si>
  <si>
    <t>Return</t>
  </si>
  <si>
    <t>(6)</t>
  </si>
  <si>
    <t>Interest Expenses</t>
  </si>
  <si>
    <t>(7)</t>
  </si>
  <si>
    <t>Net Income</t>
  </si>
  <si>
    <t>(8)</t>
  </si>
  <si>
    <t>Income Taxes</t>
  </si>
  <si>
    <t>(9)</t>
  </si>
  <si>
    <t>Operation and Maintenance Expenses</t>
  </si>
  <si>
    <t>(10)</t>
  </si>
  <si>
    <t>Depreciation Expenses</t>
  </si>
  <si>
    <t>(11)</t>
  </si>
  <si>
    <t>Other Taxes</t>
  </si>
  <si>
    <t>(12)</t>
  </si>
  <si>
    <t>Curtailable Service Rider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</si>
  <si>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</si>
  <si>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</si>
  <si>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</si>
  <si>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</si>
  <si>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</si>
  <si>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</si>
  <si>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</si>
  <si>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</si>
  <si>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</si>
  <si>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</si>
  <si>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</si>
  <si>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Revenue Adjustments - Prod Demand</t>
  </si>
  <si>
    <t>(19)</t>
  </si>
  <si>
    <t>Proforma Adjustments - Total</t>
  </si>
  <si>
    <t>(20)</t>
  </si>
  <si>
    <t>Total Cost of Service</t>
  </si>
  <si>
    <t>(21)</t>
  </si>
  <si>
    <t>Less: Misc Revenue - Prod Demand</t>
  </si>
  <si>
    <t>(22)</t>
  </si>
  <si>
    <t>Less: Misc Revenue - Energy</t>
  </si>
  <si>
    <t>(23)</t>
  </si>
  <si>
    <t>Less: Misc Revenue - Transmission</t>
  </si>
  <si>
    <t>(24)</t>
  </si>
  <si>
    <t>Less: Misc Revenue - Other</t>
  </si>
  <si>
    <t>(25)</t>
  </si>
  <si>
    <t>Less: Misc Revenue - Total</t>
  </si>
  <si>
    <t>(26)</t>
  </si>
  <si>
    <t>Net Cost of Service</t>
  </si>
  <si>
    <t>(27)</t>
  </si>
  <si>
    <t>Billing Units</t>
  </si>
  <si>
    <t>(28)</t>
  </si>
  <si>
    <t>Unit Costs</t>
  </si>
  <si>
    <t>Customer Cost</t>
  </si>
  <si>
    <t>Demand Cost</t>
  </si>
  <si>
    <t>Energy Cost</t>
  </si>
  <si>
    <t>Base delivery charge</t>
  </si>
  <si>
    <t>Intermediate delivery charge</t>
  </si>
  <si>
    <t>Peak delivery charge</t>
  </si>
  <si>
    <t>TODS Demand Unit Cost Breakout</t>
  </si>
  <si>
    <t>Production Demand-Related Costs</t>
  </si>
  <si>
    <t>Transmission Demand-Related Costs</t>
  </si>
  <si>
    <t>Distribution Demand-Related Costs</t>
  </si>
  <si>
    <t>Total Demand-Related Costs</t>
  </si>
  <si>
    <t>Ratio of Distribution to Total Demand-Related Costs</t>
  </si>
  <si>
    <t>Ratio of Production and Transmission to Total Demand-Related Costs</t>
  </si>
  <si>
    <t>Rate</t>
  </si>
  <si>
    <t>Demand Revenues
(Aggregate Demand)</t>
  </si>
  <si>
    <t>Total Monthly Demand Revenues</t>
  </si>
  <si>
    <t>Monthly Difference</t>
  </si>
  <si>
    <t>Annual Difference</t>
  </si>
  <si>
    <t>Hypothetical Multi-Site Customer Profile</t>
  </si>
  <si>
    <t>Sum of Monthly Billing Demands (kW)</t>
  </si>
  <si>
    <t>Conjunctive Monthly Demand (kW)</t>
  </si>
  <si>
    <t>Avg Monthly Peak Demand</t>
  </si>
  <si>
    <t>Avg Monthly Intermediate Demand</t>
  </si>
  <si>
    <t>Avg Monthly Base Demand</t>
  </si>
  <si>
    <t>Hypothetical Multi-Site Customer Peak Demand (kW)</t>
  </si>
  <si>
    <t>Hour 13</t>
  </si>
  <si>
    <t>Hour 14</t>
  </si>
  <si>
    <t>Hour 15</t>
  </si>
  <si>
    <t>Hour 16</t>
  </si>
  <si>
    <t>Hour 17</t>
  </si>
  <si>
    <t>Hour 18</t>
  </si>
  <si>
    <t>Hour 19</t>
  </si>
  <si>
    <t>Billing Demand</t>
  </si>
  <si>
    <t>Facility 1</t>
  </si>
  <si>
    <t>Facility 2</t>
  </si>
  <si>
    <t>Facility 3</t>
  </si>
  <si>
    <t>Facility 4</t>
  </si>
  <si>
    <t>Facility 5</t>
  </si>
  <si>
    <t>Facility 6</t>
  </si>
  <si>
    <t>Facility 7</t>
  </si>
  <si>
    <t>Multi-Site Aggregate Demand</t>
  </si>
  <si>
    <t>Maximum Load Demand</t>
  </si>
  <si>
    <t>Hypothetical Large Customer Peak Demand (kW)</t>
  </si>
  <si>
    <t xml:space="preserve">Hypothetical Multi-Site Customer Bill Comparison </t>
  </si>
  <si>
    <t>At LG&amp;E Current and Proposed TODS Rates</t>
  </si>
  <si>
    <t>Based on LG&amp;E Proposed Cost of Service Study</t>
  </si>
  <si>
    <t>Peak production and transmission demand charge</t>
  </si>
  <si>
    <t>Intermediate production and transmission demand charge</t>
  </si>
  <si>
    <t>Base production and transmission demand charge</t>
  </si>
  <si>
    <t>Demand Revenues
(Maximum Demand)</t>
  </si>
  <si>
    <t>At LG&amp;E Proposed Rates</t>
  </si>
  <si>
    <t>At LG&amp;E Current Rates</t>
  </si>
  <si>
    <t xml:space="preserve">Separate Delivery and Production and Transmission Demand Charges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</si>
</sst>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-yy;@"/>
    <numFmt numFmtId="166" formatCode="General_)"/>
    <numFmt numFmtId="167" formatCode="_(* #,##0_);_(* \(#,##0\);_(* &quot;-&quot;??_);_(@_)"/>
    <numFmt numFmtId="168" formatCode="_(* #,##0_);_(* \(#,##0\);_(* &quot;0&quot;_);_(@_)"/>
    <numFmt numFmtId="169" formatCode="_(&quot;$&quot;* #,##0.00_);_(&quot;$&quot;* \(#,##0.00\);_(&quot;$&quot;* &quot;0&quot;_);_(@_)"/>
    <numFmt numFmtId="170" formatCode="_(&quot;$&quot;* #,##0_);_(&quot;$&quot;* \(#,##0\);_(&quot;$&quot;* &quot;0&quot;_);_(@_)"/>
    <numFmt numFmtId="171" formatCode="_(&quot;$&quot;* #,##0.00000_);_(&quot;$&quot;* \(#,##0.00000\);_(&quot;$&quot;* &quot;0&quot;_);_(@_)"/>
    <numFmt numFmtId="172" formatCode="_(&quot;$&quot;* #,##0.00000_);_(&quot;$&quot;* \(#,##0.00000\);_(&quot;$&quot;* &quot;-&quot;??_);_(@_)"/>
    <numFmt numFmtId="173" formatCode="_(* #,##0.0000_);_(* \(#,##0.0000\);_(* &quot;-&quot;_);_(@_)"/>
    <numFmt numFmtId="174" formatCode="0.000000"/>
    <numFmt numFmtId="175" formatCode="_(&quot;$&quot;* #,##0.000000_);_(&quot;$&quot;* \(#,##0.000000\);_(&quot;$&quot;* &quot;-&quot;??_);_(@_)"/>
    <numFmt numFmtId="176" formatCode="_(* #,##0.00000_);_(* \(#,##0.00000\);_(* &quot;-&quot;??_);_(@_)"/>
    <numFmt numFmtId="177" formatCode="_(* #,##0.0000_);_(* \(#,##0.00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 val="doubleAccounting"/>
      <sz val="10"/>
      <color theme="1"/>
      <name val="Calibri"/>
      <family val="2"/>
      <scheme val="minor"/>
    </font>
    <font>
      <sz val="11"/>
      <name val="Times New Roman"/>
    </font>
    <font>
      <b/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2"/>
      <color theme="4"/>
      <name val="Times New Roman"/>
      <family val="1"/>
    </font>
    <font>
      <sz val="11"/>
      <color theme="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/>
    <xf numFmtId="165" fontId="5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/>
    <xf numFmtId="9" fontId="4" fillId="0" borderId="0" applyFont="0" applyFill="0" applyBorder="0" applyAlignment="0" applyProtection="0"/>
    <xf numFmtId="0" fontId="10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09">
    <xf numFmtId="0" fontId="0" fillId="0" borderId="0" xfId="0"/>
    <xf numFmtId="43" fontId="2" fillId="0" borderId="0" xfId="1" applyFont="1" applyBorder="1" applyAlignment="1">
      <alignment horizontal="left"/>
    </xf>
    <xf numFmtId="0" fontId="3" fillId="0" borderId="0" xfId="0" applyFont="1"/>
    <xf numFmtId="164" fontId="3" fillId="0" borderId="0" xfId="2" applyNumberFormat="1" applyFont="1" applyFill="1" applyBorder="1"/>
    <xf numFmtId="41" fontId="2" fillId="0" borderId="0" xfId="4" quotePrefix="1" applyFont="1" applyAlignment="1">
      <alignment horizontal="right"/>
    </xf>
    <xf numFmtId="41" fontId="2" fillId="0" borderId="0" xfId="4" applyFont="1" applyAlignment="1">
      <alignment horizontal="left"/>
    </xf>
    <xf numFmtId="41" fontId="2" fillId="0" borderId="0" xfId="4" applyFont="1" applyAlignment="1">
      <alignment horizontal="right"/>
    </xf>
    <xf numFmtId="41" fontId="3" fillId="0" borderId="0" xfId="4" applyFont="1" applyAlignment="1">
      <alignment horizontal="left"/>
    </xf>
    <xf numFmtId="166" fontId="3" fillId="0" borderId="0" xfId="5" applyNumberFormat="1" applyFont="1" applyAlignment="1">
      <alignment horizontal="right"/>
    </xf>
    <xf numFmtId="166" fontId="6" fillId="0" borderId="0" xfId="5" applyNumberFormat="1" applyFont="1"/>
    <xf numFmtId="41" fontId="2" fillId="0" borderId="0" xfId="4" quotePrefix="1" applyFont="1" applyAlignment="1">
      <alignment horizontal="center"/>
    </xf>
    <xf numFmtId="41" fontId="3" fillId="0" borderId="2" xfId="4" applyFont="1" applyBorder="1" applyAlignment="1">
      <alignment horizontal="center"/>
    </xf>
    <xf numFmtId="41" fontId="3" fillId="0" borderId="0" xfId="4" applyFont="1"/>
    <xf numFmtId="41" fontId="3" fillId="0" borderId="0" xfId="4" applyFont="1" applyAlignment="1">
      <alignment horizontal="center"/>
    </xf>
    <xf numFmtId="166" fontId="3" fillId="0" borderId="0" xfId="5" applyNumberFormat="1" applyFont="1" applyAlignment="1">
      <alignment horizontal="center"/>
    </xf>
    <xf numFmtId="166" fontId="6" fillId="0" borderId="1" xfId="5" applyNumberFormat="1" applyFont="1" applyBorder="1"/>
    <xf numFmtId="41" fontId="3" fillId="0" borderId="1" xfId="4" applyFont="1" applyBorder="1"/>
    <xf numFmtId="41" fontId="3" fillId="0" borderId="1" xfId="4" quotePrefix="1" applyFont="1" applyBorder="1" applyAlignment="1">
      <alignment horizontal="center"/>
    </xf>
    <xf numFmtId="166" fontId="3" fillId="0" borderId="1" xfId="5" quotePrefix="1" applyNumberFormat="1" applyFont="1" applyBorder="1" applyAlignment="1">
      <alignment horizontal="center"/>
    </xf>
    <xf numFmtId="41" fontId="3" fillId="0" borderId="1" xfId="4" applyFont="1" applyBorder="1" applyAlignment="1">
      <alignment horizontal="center"/>
    </xf>
    <xf numFmtId="41" fontId="3" fillId="0" borderId="0" xfId="4" quotePrefix="1" applyFont="1" applyAlignment="1">
      <alignment horizontal="center"/>
    </xf>
    <xf numFmtId="14" fontId="3" fillId="0" borderId="0" xfId="4" applyNumberFormat="1" applyFont="1" applyAlignment="1">
      <alignment horizontal="center"/>
    </xf>
    <xf numFmtId="167" fontId="3" fillId="0" borderId="0" xfId="6" applyNumberFormat="1" applyFont="1" applyFill="1" applyBorder="1" applyAlignment="1">
      <alignment horizontal="center"/>
    </xf>
    <xf numFmtId="167" fontId="2" fillId="0" borderId="0" xfId="6" applyNumberFormat="1" applyFont="1" applyFill="1" applyBorder="1" applyAlignment="1">
      <alignment horizontal="left"/>
    </xf>
    <xf numFmtId="41" fontId="3" fillId="0" borderId="0" xfId="4" quotePrefix="1" applyFont="1"/>
    <xf numFmtId="168" fontId="3" fillId="0" borderId="0" xfId="4" applyNumberFormat="1" applyFont="1"/>
    <xf numFmtId="169" fontId="3" fillId="0" borderId="0" xfId="7" applyNumberFormat="1" applyFont="1" applyFill="1" applyBorder="1" applyProtection="1">
      <protection locked="0"/>
    </xf>
    <xf numFmtId="170" fontId="3" fillId="0" borderId="0" xfId="7" applyNumberFormat="1" applyFont="1" applyFill="1" applyBorder="1"/>
    <xf numFmtId="169" fontId="3" fillId="0" borderId="0" xfId="7" applyNumberFormat="1" applyFont="1" applyFill="1" applyBorder="1" applyProtection="1"/>
    <xf numFmtId="44" fontId="3" fillId="0" borderId="0" xfId="2" applyFont="1" applyFill="1" applyBorder="1" applyProtection="1">
      <protection locked="0"/>
    </xf>
    <xf numFmtId="171" fontId="3" fillId="0" borderId="0" xfId="7" applyNumberFormat="1" applyFont="1" applyFill="1" applyBorder="1" applyProtection="1"/>
    <xf numFmtId="170" fontId="3" fillId="0" borderId="0" xfId="7" applyNumberFormat="1" applyFont="1" applyFill="1" applyBorder="1" applyProtection="1"/>
    <xf numFmtId="171" fontId="3" fillId="0" borderId="0" xfId="7" applyNumberFormat="1" applyFont="1" applyFill="1" applyBorder="1" applyProtection="1">
      <protection locked="0"/>
    </xf>
    <xf numFmtId="172" fontId="3" fillId="0" borderId="0" xfId="7" applyNumberFormat="1" applyFont="1" applyFill="1" applyBorder="1" applyProtection="1"/>
    <xf numFmtId="164" fontId="3" fillId="0" borderId="0" xfId="2" applyNumberFormat="1" applyFont="1" applyFill="1" applyBorder="1" applyProtection="1"/>
    <xf numFmtId="172" fontId="3" fillId="0" borderId="0" xfId="7" applyNumberFormat="1" applyFont="1" applyFill="1" applyBorder="1" applyProtection="1">
      <protection locked="0"/>
    </xf>
    <xf numFmtId="167" fontId="3" fillId="0" borderId="0" xfId="6" applyNumberFormat="1" applyFont="1" applyFill="1" applyBorder="1"/>
    <xf numFmtId="173" fontId="3" fillId="0" borderId="0" xfId="8" applyNumberFormat="1" applyFont="1"/>
    <xf numFmtId="41" fontId="3" fillId="0" borderId="0" xfId="8" applyFont="1"/>
    <xf numFmtId="164" fontId="7" fillId="0" borderId="0" xfId="2" applyNumberFormat="1" applyFont="1" applyFill="1" applyBorder="1" applyProtection="1"/>
    <xf numFmtId="164" fontId="7" fillId="0" borderId="0" xfId="2" applyNumberFormat="1" applyFont="1" applyFill="1" applyBorder="1"/>
    <xf numFmtId="41" fontId="2" fillId="0" borderId="0" xfId="4" applyFont="1"/>
    <xf numFmtId="170" fontId="2" fillId="0" borderId="0" xfId="2" applyNumberFormat="1" applyFont="1" applyFill="1" applyBorder="1" applyProtection="1"/>
    <xf numFmtId="170" fontId="2" fillId="0" borderId="0" xfId="2" applyNumberFormat="1" applyFont="1" applyFill="1" applyBorder="1"/>
    <xf numFmtId="174" fontId="7" fillId="0" borderId="0" xfId="5" applyNumberFormat="1" applyFont="1"/>
    <xf numFmtId="164" fontId="3" fillId="0" borderId="0" xfId="7" applyNumberFormat="1" applyFont="1" applyFill="1" applyBorder="1" applyProtection="1"/>
    <xf numFmtId="167" fontId="3" fillId="0" borderId="0" xfId="6" applyNumberFormat="1" applyFont="1" applyFill="1" applyBorder="1" applyProtection="1"/>
    <xf numFmtId="41" fontId="2" fillId="0" borderId="0" xfId="4" quotePrefix="1" applyFont="1"/>
    <xf numFmtId="41" fontId="8" fillId="0" borderId="0" xfId="4" applyFont="1"/>
    <xf numFmtId="170" fontId="9" fillId="0" borderId="0" xfId="7" applyNumberFormat="1" applyFont="1" applyFill="1" applyBorder="1"/>
    <xf numFmtId="164" fontId="3" fillId="0" borderId="0" xfId="7" applyNumberFormat="1" applyFont="1" applyFill="1" applyBorder="1"/>
    <xf numFmtId="10" fontId="3" fillId="0" borderId="0" xfId="9" applyNumberFormat="1" applyFont="1" applyFill="1" applyBorder="1"/>
    <xf numFmtId="165" fontId="3" fillId="0" borderId="0" xfId="5" applyNumberFormat="1" applyFont="1" applyAlignment="1">
      <alignment horizontal="center"/>
    </xf>
    <xf numFmtId="165" fontId="3" fillId="0" borderId="0" xfId="5" applyNumberFormat="1" applyFont="1"/>
    <xf numFmtId="165" fontId="3" fillId="0" borderId="0" xfId="5" applyNumberFormat="1" applyFont="1" applyAlignment="1">
      <alignment horizontal="right"/>
    </xf>
    <xf numFmtId="165" fontId="3" fillId="0" borderId="1" xfId="5" applyNumberFormat="1" applyFont="1" applyBorder="1" applyAlignment="1">
      <alignment horizontal="center"/>
    </xf>
    <xf numFmtId="165" fontId="3" fillId="0" borderId="0" xfId="5" quotePrefix="1" applyNumberFormat="1" applyFont="1"/>
    <xf numFmtId="165" fontId="3" fillId="0" borderId="2" xfId="5" quotePrefix="1" applyNumberFormat="1" applyFont="1" applyBorder="1" applyAlignment="1">
      <alignment horizontal="center"/>
    </xf>
    <xf numFmtId="165" fontId="3" fillId="0" borderId="0" xfId="5" quotePrefix="1" applyNumberFormat="1" applyFont="1" applyAlignment="1">
      <alignment horizontal="center"/>
    </xf>
    <xf numFmtId="165" fontId="3" fillId="0" borderId="0" xfId="5" applyNumberFormat="1" applyFont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165" fontId="2" fillId="0" borderId="0" xfId="5" quotePrefix="1" applyNumberFormat="1" applyFont="1" applyAlignment="1">
      <alignment horizontal="left"/>
    </xf>
    <xf numFmtId="165" fontId="2" fillId="0" borderId="0" xfId="5" applyNumberFormat="1" applyFont="1" applyAlignment="1">
      <alignment horizontal="right"/>
    </xf>
    <xf numFmtId="0" fontId="4" fillId="0" borderId="0" xfId="10" applyFont="1" applyAlignment="1">
      <alignment horizontal="center"/>
    </xf>
    <xf numFmtId="0" fontId="11" fillId="0" borderId="0" xfId="10" applyFont="1"/>
    <xf numFmtId="0" fontId="10" fillId="0" borderId="0" xfId="10"/>
    <xf numFmtId="0" fontId="12" fillId="0" borderId="0" xfId="10" applyFont="1" applyAlignment="1">
      <alignment horizontal="center"/>
    </xf>
    <xf numFmtId="0" fontId="11" fillId="0" borderId="0" xfId="10" applyFont="1" applyAlignment="1">
      <alignment horizontal="center"/>
    </xf>
    <xf numFmtId="0" fontId="12" fillId="0" borderId="0" xfId="10" applyFont="1" applyAlignment="1">
      <alignment horizontal="center"/>
    </xf>
    <xf numFmtId="0" fontId="12" fillId="0" borderId="0" xfId="10" applyFont="1"/>
    <xf numFmtId="0" fontId="4" fillId="0" borderId="0" xfId="10" applyFont="1"/>
    <xf numFmtId="0" fontId="13" fillId="0" borderId="3" xfId="10" applyFont="1" applyBorder="1"/>
    <xf numFmtId="0" fontId="13" fillId="0" borderId="4" xfId="10" applyFont="1" applyBorder="1"/>
    <xf numFmtId="0" fontId="13" fillId="0" borderId="5" xfId="10" applyFont="1" applyBorder="1"/>
    <xf numFmtId="0" fontId="13" fillId="0" borderId="6" xfId="10" applyFont="1" applyBorder="1" applyAlignment="1">
      <alignment horizontal="center"/>
    </xf>
    <xf numFmtId="0" fontId="13" fillId="0" borderId="7" xfId="10" applyFont="1" applyBorder="1" applyAlignment="1">
      <alignment horizontal="center"/>
    </xf>
    <xf numFmtId="0" fontId="13" fillId="0" borderId="8" xfId="10" applyFont="1" applyBorder="1" applyAlignment="1">
      <alignment horizontal="center"/>
    </xf>
    <xf numFmtId="0" fontId="13" fillId="0" borderId="6" xfId="10" applyFont="1" applyBorder="1" applyAlignment="1">
      <alignment horizontal="center"/>
    </xf>
    <xf numFmtId="0" fontId="14" fillId="0" borderId="5" xfId="10" applyFont="1" applyBorder="1"/>
    <xf numFmtId="0" fontId="13" fillId="0" borderId="9" xfId="10" applyFont="1" applyBorder="1"/>
    <xf numFmtId="0" fontId="13" fillId="0" borderId="10" xfId="10" applyFont="1" applyBorder="1"/>
    <xf numFmtId="0" fontId="13" fillId="0" borderId="11" xfId="10" applyFont="1" applyBorder="1"/>
    <xf numFmtId="0" fontId="14" fillId="0" borderId="11" xfId="10" applyFont="1" applyBorder="1"/>
    <xf numFmtId="0" fontId="13" fillId="0" borderId="12" xfId="10" applyFont="1" applyBorder="1"/>
    <xf numFmtId="0" fontId="15" fillId="0" borderId="13" xfId="10" applyFont="1" applyBorder="1"/>
    <xf numFmtId="0" fontId="15" fillId="0" borderId="14" xfId="10" applyFont="1" applyBorder="1" applyAlignment="1">
      <alignment horizontal="center"/>
    </xf>
    <xf numFmtId="0" fontId="13" fillId="0" borderId="14" xfId="10" applyFont="1" applyBorder="1" applyAlignment="1">
      <alignment horizontal="center"/>
    </xf>
    <xf numFmtId="0" fontId="13" fillId="0" borderId="12" xfId="10" applyFont="1" applyBorder="1" applyAlignment="1">
      <alignment horizontal="center"/>
    </xf>
    <xf numFmtId="0" fontId="10" fillId="0" borderId="3" xfId="10" applyBorder="1"/>
    <xf numFmtId="0" fontId="10" fillId="0" borderId="4" xfId="10" applyBorder="1"/>
    <xf numFmtId="0" fontId="10" fillId="0" borderId="5" xfId="10" applyBorder="1" applyAlignment="1">
      <alignment horizontal="center"/>
    </xf>
    <xf numFmtId="0" fontId="10" fillId="0" borderId="3" xfId="10" applyBorder="1" applyAlignment="1">
      <alignment horizontal="center"/>
    </xf>
    <xf numFmtId="0" fontId="10" fillId="0" borderId="15" xfId="10" applyBorder="1"/>
    <xf numFmtId="0" fontId="10" fillId="0" borderId="5" xfId="10" applyBorder="1"/>
    <xf numFmtId="0" fontId="10" fillId="0" borderId="11" xfId="10" applyBorder="1"/>
    <xf numFmtId="0" fontId="10" fillId="0" borderId="9" xfId="10" quotePrefix="1" applyBorder="1"/>
    <xf numFmtId="0" fontId="10" fillId="0" borderId="10" xfId="10" applyBorder="1"/>
    <xf numFmtId="0" fontId="5" fillId="0" borderId="11" xfId="10" applyFont="1" applyBorder="1" applyAlignment="1">
      <alignment horizontal="center"/>
    </xf>
    <xf numFmtId="164" fontId="16" fillId="0" borderId="9" xfId="10" applyNumberFormat="1" applyFont="1" applyBorder="1" applyAlignment="1">
      <alignment horizontal="center"/>
    </xf>
    <xf numFmtId="164" fontId="16" fillId="0" borderId="0" xfId="10" applyNumberFormat="1" applyFont="1" applyAlignment="1">
      <alignment horizontal="center"/>
    </xf>
    <xf numFmtId="164" fontId="16" fillId="0" borderId="11" xfId="10" applyNumberFormat="1" applyFont="1" applyBorder="1" applyAlignment="1">
      <alignment horizontal="center"/>
    </xf>
    <xf numFmtId="0" fontId="5" fillId="0" borderId="9" xfId="10" quotePrefix="1" applyFont="1" applyBorder="1"/>
    <xf numFmtId="0" fontId="14" fillId="0" borderId="10" xfId="10" applyFont="1" applyBorder="1"/>
    <xf numFmtId="0" fontId="5" fillId="0" borderId="10" xfId="10" applyFont="1" applyBorder="1"/>
    <xf numFmtId="0" fontId="10" fillId="0" borderId="11" xfId="10" applyBorder="1" applyAlignment="1">
      <alignment horizontal="center"/>
    </xf>
    <xf numFmtId="0" fontId="16" fillId="0" borderId="9" xfId="10" applyFont="1" applyBorder="1" applyAlignment="1">
      <alignment horizontal="center"/>
    </xf>
    <xf numFmtId="0" fontId="16" fillId="0" borderId="0" xfId="10" applyFont="1"/>
    <xf numFmtId="164" fontId="0" fillId="0" borderId="11" xfId="11" applyNumberFormat="1" applyFont="1" applyBorder="1"/>
    <xf numFmtId="10" fontId="16" fillId="0" borderId="9" xfId="12" applyNumberFormat="1" applyFont="1" applyFill="1" applyBorder="1" applyAlignment="1">
      <alignment horizontal="right"/>
    </xf>
    <xf numFmtId="10" fontId="16" fillId="0" borderId="0" xfId="12" applyNumberFormat="1" applyFont="1" applyBorder="1" applyAlignment="1">
      <alignment horizontal="right"/>
    </xf>
    <xf numFmtId="0" fontId="10" fillId="0" borderId="9" xfId="10" applyBorder="1"/>
    <xf numFmtId="167" fontId="16" fillId="0" borderId="9" xfId="13" applyNumberFormat="1" applyFont="1" applyFill="1" applyBorder="1" applyAlignment="1">
      <alignment horizontal="center"/>
    </xf>
    <xf numFmtId="167" fontId="16" fillId="0" borderId="0" xfId="13" applyNumberFormat="1" applyFont="1" applyBorder="1" applyAlignment="1">
      <alignment horizontal="center"/>
    </xf>
    <xf numFmtId="167" fontId="16" fillId="0" borderId="9" xfId="13" applyNumberFormat="1" applyFont="1" applyFill="1" applyBorder="1"/>
    <xf numFmtId="0" fontId="5" fillId="0" borderId="0" xfId="10" applyFont="1" applyAlignment="1">
      <alignment horizontal="center"/>
    </xf>
    <xf numFmtId="0" fontId="16" fillId="0" borderId="11" xfId="10" applyFont="1" applyBorder="1"/>
    <xf numFmtId="164" fontId="5" fillId="0" borderId="11" xfId="11" applyNumberFormat="1" applyFont="1" applyBorder="1" applyAlignment="1">
      <alignment horizontal="center"/>
    </xf>
    <xf numFmtId="44" fontId="16" fillId="0" borderId="9" xfId="11" applyFont="1" applyFill="1" applyBorder="1" applyAlignment="1">
      <alignment horizontal="center"/>
    </xf>
    <xf numFmtId="164" fontId="16" fillId="0" borderId="0" xfId="11" applyNumberFormat="1" applyFont="1" applyBorder="1"/>
    <xf numFmtId="167" fontId="16" fillId="0" borderId="0" xfId="13" applyNumberFormat="1" applyFont="1" applyFill="1" applyBorder="1"/>
    <xf numFmtId="167" fontId="5" fillId="0" borderId="0" xfId="10" applyNumberFormat="1" applyFont="1"/>
    <xf numFmtId="167" fontId="16" fillId="0" borderId="0" xfId="13" applyNumberFormat="1" applyFont="1" applyBorder="1"/>
    <xf numFmtId="0" fontId="5" fillId="0" borderId="12" xfId="10" quotePrefix="1" applyFont="1" applyBorder="1"/>
    <xf numFmtId="0" fontId="14" fillId="0" borderId="13" xfId="10" applyFont="1" applyBorder="1"/>
    <xf numFmtId="0" fontId="5" fillId="0" borderId="14" xfId="10" applyFont="1" applyBorder="1" applyAlignment="1">
      <alignment horizontal="center"/>
    </xf>
    <xf numFmtId="0" fontId="16" fillId="0" borderId="12" xfId="10" applyFont="1" applyBorder="1" applyAlignment="1">
      <alignment horizontal="center"/>
    </xf>
    <xf numFmtId="44" fontId="16" fillId="0" borderId="16" xfId="11" applyFont="1" applyBorder="1"/>
    <xf numFmtId="175" fontId="16" fillId="0" borderId="16" xfId="11" applyNumberFormat="1" applyFont="1" applyBorder="1"/>
    <xf numFmtId="44" fontId="16" fillId="0" borderId="8" xfId="11" applyFont="1" applyBorder="1"/>
    <xf numFmtId="164" fontId="0" fillId="0" borderId="14" xfId="11" applyNumberFormat="1" applyFont="1" applyBorder="1"/>
    <xf numFmtId="172" fontId="10" fillId="0" borderId="0" xfId="10" applyNumberFormat="1"/>
    <xf numFmtId="0" fontId="14" fillId="0" borderId="0" xfId="10" applyFont="1" applyAlignment="1">
      <alignment horizontal="left"/>
    </xf>
    <xf numFmtId="2" fontId="10" fillId="0" borderId="0" xfId="10" applyNumberFormat="1"/>
    <xf numFmtId="43" fontId="10" fillId="0" borderId="0" xfId="10" applyNumberFormat="1"/>
    <xf numFmtId="43" fontId="0" fillId="0" borderId="0" xfId="13" applyFont="1"/>
    <xf numFmtId="176" fontId="0" fillId="0" borderId="0" xfId="13" applyNumberFormat="1" applyFont="1"/>
    <xf numFmtId="0" fontId="14" fillId="0" borderId="0" xfId="10" applyFont="1"/>
    <xf numFmtId="44" fontId="0" fillId="0" borderId="0" xfId="11" applyFont="1" applyBorder="1"/>
    <xf numFmtId="164" fontId="0" fillId="0" borderId="0" xfId="11" applyNumberFormat="1" applyFont="1" applyBorder="1"/>
    <xf numFmtId="177" fontId="0" fillId="0" borderId="0" xfId="13" applyNumberFormat="1" applyFont="1"/>
    <xf numFmtId="167" fontId="14" fillId="0" borderId="0" xfId="13" applyNumberFormat="1" applyFont="1" applyBorder="1"/>
    <xf numFmtId="41" fontId="17" fillId="0" borderId="0" xfId="4" applyFont="1" applyAlignment="1">
      <alignment horizontal="left" indent="1"/>
    </xf>
    <xf numFmtId="41" fontId="17" fillId="0" borderId="0" xfId="4" applyFont="1"/>
    <xf numFmtId="168" fontId="17" fillId="0" borderId="0" xfId="4" applyNumberFormat="1" applyFont="1"/>
    <xf numFmtId="44" fontId="17" fillId="0" borderId="0" xfId="2" applyFont="1" applyFill="1" applyBorder="1"/>
    <xf numFmtId="170" fontId="17" fillId="0" borderId="0" xfId="7" applyNumberFormat="1" applyFont="1" applyFill="1" applyBorder="1"/>
    <xf numFmtId="0" fontId="18" fillId="0" borderId="0" xfId="0" applyFont="1"/>
    <xf numFmtId="164" fontId="19" fillId="0" borderId="0" xfId="10" applyNumberFormat="1" applyFont="1"/>
    <xf numFmtId="0" fontId="19" fillId="0" borderId="0" xfId="10" applyFont="1"/>
    <xf numFmtId="167" fontId="19" fillId="0" borderId="0" xfId="13" applyNumberFormat="1" applyFont="1"/>
    <xf numFmtId="0" fontId="20" fillId="0" borderId="0" xfId="10" applyFont="1"/>
    <xf numFmtId="167" fontId="18" fillId="0" borderId="0" xfId="1" applyNumberFormat="1" applyFont="1"/>
    <xf numFmtId="167" fontId="18" fillId="0" borderId="0" xfId="0" applyNumberFormat="1" applyFont="1"/>
    <xf numFmtId="10" fontId="18" fillId="0" borderId="0" xfId="3" applyNumberFormat="1" applyFont="1"/>
    <xf numFmtId="10" fontId="18" fillId="0" borderId="0" xfId="0" applyNumberFormat="1" applyFont="1"/>
    <xf numFmtId="0" fontId="21" fillId="0" borderId="0" xfId="0" applyFont="1"/>
    <xf numFmtId="0" fontId="21" fillId="0" borderId="5" xfId="0" applyFont="1" applyBorder="1"/>
    <xf numFmtId="0" fontId="12" fillId="0" borderId="15" xfId="0" quotePrefix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2" fillId="0" borderId="3" xfId="0" quotePrefix="1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4" fillId="0" borderId="9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41" fontId="22" fillId="0" borderId="11" xfId="4" applyFont="1" applyBorder="1"/>
    <xf numFmtId="44" fontId="4" fillId="0" borderId="0" xfId="2" applyFont="1" applyBorder="1"/>
    <xf numFmtId="164" fontId="4" fillId="0" borderId="0" xfId="2" applyNumberFormat="1" applyFont="1" applyBorder="1"/>
    <xf numFmtId="0" fontId="4" fillId="0" borderId="0" xfId="0" applyFont="1"/>
    <xf numFmtId="44" fontId="21" fillId="0" borderId="9" xfId="2" applyFont="1" applyBorder="1"/>
    <xf numFmtId="164" fontId="21" fillId="0" borderId="0" xfId="2" applyNumberFormat="1" applyFont="1" applyBorder="1"/>
    <xf numFmtId="0" fontId="21" fillId="0" borderId="10" xfId="0" applyFont="1" applyBorder="1"/>
    <xf numFmtId="41" fontId="19" fillId="0" borderId="11" xfId="4" applyFont="1" applyBorder="1" applyAlignment="1">
      <alignment horizontal="left" indent="1"/>
    </xf>
    <xf numFmtId="164" fontId="4" fillId="0" borderId="10" xfId="2" applyNumberFormat="1" applyFont="1" applyBorder="1"/>
    <xf numFmtId="44" fontId="21" fillId="0" borderId="12" xfId="2" applyFont="1" applyBorder="1"/>
    <xf numFmtId="164" fontId="21" fillId="0" borderId="16" xfId="2" applyNumberFormat="1" applyFont="1" applyBorder="1"/>
    <xf numFmtId="164" fontId="4" fillId="0" borderId="13" xfId="2" applyNumberFormat="1" applyFont="1" applyBorder="1"/>
    <xf numFmtId="41" fontId="12" fillId="0" borderId="3" xfId="4" applyFont="1" applyBorder="1" applyAlignment="1">
      <alignment horizontal="right"/>
    </xf>
    <xf numFmtId="0" fontId="4" fillId="0" borderId="3" xfId="0" applyFont="1" applyBorder="1"/>
    <xf numFmtId="164" fontId="4" fillId="0" borderId="15" xfId="0" applyNumberFormat="1" applyFont="1" applyBorder="1"/>
    <xf numFmtId="164" fontId="4" fillId="0" borderId="4" xfId="0" applyNumberFormat="1" applyFont="1" applyBorder="1"/>
    <xf numFmtId="0" fontId="21" fillId="0" borderId="15" xfId="0" applyFont="1" applyBorder="1"/>
    <xf numFmtId="164" fontId="21" fillId="0" borderId="15" xfId="0" applyNumberFormat="1" applyFont="1" applyBorder="1"/>
    <xf numFmtId="164" fontId="21" fillId="0" borderId="4" xfId="0" applyNumberFormat="1" applyFont="1" applyBorder="1"/>
    <xf numFmtId="0" fontId="22" fillId="0" borderId="9" xfId="0" applyFont="1" applyBorder="1" applyAlignment="1">
      <alignment horizontal="right" wrapText="1"/>
    </xf>
    <xf numFmtId="0" fontId="21" fillId="0" borderId="9" xfId="0" applyFont="1" applyBorder="1"/>
    <xf numFmtId="164" fontId="21" fillId="0" borderId="10" xfId="0" applyNumberFormat="1" applyFont="1" applyBorder="1"/>
    <xf numFmtId="0" fontId="22" fillId="0" borderId="12" xfId="0" applyFont="1" applyBorder="1" applyAlignment="1">
      <alignment horizontal="right"/>
    </xf>
    <xf numFmtId="0" fontId="21" fillId="0" borderId="12" xfId="0" applyFont="1" applyBorder="1"/>
    <xf numFmtId="0" fontId="21" fillId="0" borderId="16" xfId="0" applyFont="1" applyBorder="1"/>
    <xf numFmtId="164" fontId="21" fillId="0" borderId="13" xfId="2" applyNumberFormat="1" applyFont="1" applyBorder="1"/>
    <xf numFmtId="0" fontId="22" fillId="0" borderId="0" xfId="0" applyFont="1" applyAlignment="1">
      <alignment horizontal="right"/>
    </xf>
    <xf numFmtId="164" fontId="21" fillId="0" borderId="0" xfId="2" applyNumberFormat="1" applyFont="1"/>
    <xf numFmtId="0" fontId="22" fillId="0" borderId="0" xfId="0" applyFont="1"/>
    <xf numFmtId="167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167" fontId="21" fillId="0" borderId="0" xfId="1" applyNumberFormat="1" applyFont="1"/>
    <xf numFmtId="167" fontId="22" fillId="0" borderId="8" xfId="1" applyNumberFormat="1" applyFont="1" applyBorder="1"/>
    <xf numFmtId="0" fontId="25" fillId="0" borderId="0" xfId="0" applyFont="1" applyAlignment="1">
      <alignment horizontal="center"/>
    </xf>
    <xf numFmtId="41" fontId="26" fillId="0" borderId="0" xfId="4" applyFont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15" xfId="0" applyFont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</cellXfs>
  <cellStyles count="14">
    <cellStyle name="Comma" xfId="1" builtinId="3"/>
    <cellStyle name="Comma 2" xfId="13" xr:uid="{CAB1AF7D-627A-437E-8954-ECFCC2FF1412}"/>
    <cellStyle name="Comma 3" xfId="6" xr:uid="{C239E73C-AADC-42AF-BED4-2FE124FC4770}"/>
    <cellStyle name="Currency" xfId="2" builtinId="4"/>
    <cellStyle name="Currency 2" xfId="11" xr:uid="{DCEB7B21-131A-418A-AF19-E38E28E0ED74}"/>
    <cellStyle name="Currency 3" xfId="7" xr:uid="{90A6F583-7731-4017-80DA-6B12D08C4E80}"/>
    <cellStyle name="Normal" xfId="0" builtinId="0"/>
    <cellStyle name="Normal 2" xfId="10" xr:uid="{6B9E9FD5-86CD-4AD9-BB8D-7598CF212DCF}"/>
    <cellStyle name="Normal 2 19" xfId="4" xr:uid="{4C4BA1D0-DD96-42A8-812F-A586D0876B48}"/>
    <cellStyle name="Normal 2 23" xfId="8" xr:uid="{622321B1-93CA-451D-A07D-301F1178DD49}"/>
    <cellStyle name="Normal_LGE Filed Test Period Billing Exhibits - SBR Summary" xfId="5" xr:uid="{6AC59977-6514-48E5-A76C-EDE6C716D6B9}"/>
    <cellStyle name="Percent" xfId="3" builtinId="5"/>
    <cellStyle name="Percent 2" xfId="9" xr:uid="{45DE1C3A-1C35-4599-BA5F-6F7D948953E5}"/>
    <cellStyle name="Percent 3" xfId="12" xr:uid="{A63C63C0-B5F5-45D1-90C5-7B651C935B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ieber/Documents/Kroger%20-%20Kentucky/KU%20and%20LG&amp;E%202020/LG&amp;E%20Data%20Responses/2020_AG-KIUC_DR1_LGE_Attach_to_Q188_-_att_3_LGE_LOLP_COSS_with_Unit_Cos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LGE%20Forecast%20Period%20Calendar%20-%20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Documents%20and%20Settings/e011661/Local%20Settings/Temporary%20Internet%20Files/OLK29/Rate%20Case%20KU%2012mosJune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DAVID/PSC/MA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Attachment%201(d)_KU%20Example%20Aggregate%20Demand%20TODS%20Billing%20Comparison.v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DOWS/TEMP/1999/FACJAN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Financials/LG&amp;E/2008/lge0308rep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AppData/Local/Temp/eM%20Client%20temporary%20files/xsfgun54.yeh/KU%20Forecast%20Period%20Jul17-Jun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6Plan/Utility%20Plan/Supporting%20Schedules/Gross%20Margin/Gross%20Margin%202006-2008%20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DOWS/TEMP/1999/FACJAN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onthly%20Reporting/Tax%20Report/LGE/LGELedger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My%20Documents/BellarExhibi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WINNT/Profiles/e004977/Temporary%20Internet%20Files/OLK2D/Rate%20Case%20LGE%20Lates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05Plan/Utility%20Plan/Margin/100504%20Version%20of%20GM%202005%20Plan/KU-Whsle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Financials/LG&amp;E/2008/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Rate%20Case%202012/Billing%20Determinants/LGEBillDeterminants-Rate%20Cas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6Plan/Utility%20Plan/Supporting%20Schedules/Gross%20Margin/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onthly%20Reporting/Tax%20Report/LGE/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y%20Documents/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NT/Profiles/e004977/Temporary%20Internet%20Files/OLK2D/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S-30"/>
      <sheetName val="WSS-32"/>
      <sheetName val="Summary of Returns"/>
      <sheetName val="Billing Det"/>
      <sheetName val="RS"/>
      <sheetName val="GS"/>
      <sheetName val="PS Sec"/>
      <sheetName val="PS Pri"/>
      <sheetName val="TOD Sec"/>
      <sheetName val="TOD Pri"/>
      <sheetName val="RTS"/>
      <sheetName val="Special Contract"/>
      <sheetName val="Meters"/>
      <sheetName val="Services"/>
    </sheetNames>
    <sheetDataSet>
      <sheetData sheetId="0" refreshError="1"/>
      <sheetData sheetId="1">
        <row r="125">
          <cell r="L125">
            <v>197762667.89553675</v>
          </cell>
        </row>
        <row r="126">
          <cell r="L126">
            <v>0</v>
          </cell>
        </row>
        <row r="127">
          <cell r="L127">
            <v>0</v>
          </cell>
        </row>
        <row r="128">
          <cell r="L128">
            <v>8961060.6950090025</v>
          </cell>
        </row>
        <row r="137">
          <cell r="L137">
            <v>35415009.658602752</v>
          </cell>
        </row>
        <row r="143">
          <cell r="L143">
            <v>13721973.420802776</v>
          </cell>
        </row>
        <row r="147">
          <cell r="L147">
            <v>21008348.029846229</v>
          </cell>
        </row>
        <row r="148">
          <cell r="L148">
            <v>369690.33734142763</v>
          </cell>
        </row>
        <row r="149">
          <cell r="L149">
            <v>0</v>
          </cell>
        </row>
        <row r="150">
          <cell r="L150">
            <v>0</v>
          </cell>
        </row>
        <row r="154">
          <cell r="L154">
            <v>5775820.4364432395</v>
          </cell>
        </row>
        <row r="155">
          <cell r="L155">
            <v>42748.529361307068</v>
          </cell>
        </row>
        <row r="159">
          <cell r="L159">
            <v>79670.150828074984</v>
          </cell>
        </row>
        <row r="162">
          <cell r="L162">
            <v>313840.61989991076</v>
          </cell>
        </row>
        <row r="165">
          <cell r="L165">
            <v>0</v>
          </cell>
        </row>
        <row r="168">
          <cell r="L168">
            <v>114429.69427092381</v>
          </cell>
        </row>
        <row r="171">
          <cell r="L171">
            <v>1175.2143729195091</v>
          </cell>
        </row>
        <row r="176">
          <cell r="L176">
            <v>283566434.68231529</v>
          </cell>
        </row>
        <row r="182">
          <cell r="L182">
            <v>11023700.104048418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45453323.591409646</v>
          </cell>
        </row>
        <row r="194">
          <cell r="L194">
            <v>3518854.8915488119</v>
          </cell>
        </row>
        <row r="200">
          <cell r="L200">
            <v>870723.88419571333</v>
          </cell>
        </row>
        <row r="204">
          <cell r="L204">
            <v>1423478.8792483553</v>
          </cell>
        </row>
        <row r="205">
          <cell r="L205">
            <v>25548.236706934116</v>
          </cell>
        </row>
        <row r="206">
          <cell r="L206">
            <v>0</v>
          </cell>
        </row>
        <row r="207">
          <cell r="L207">
            <v>0</v>
          </cell>
        </row>
        <row r="211">
          <cell r="L211">
            <v>97572.656217706011</v>
          </cell>
        </row>
        <row r="212">
          <cell r="L212">
            <v>720.36374623434756</v>
          </cell>
        </row>
        <row r="216">
          <cell r="L216">
            <v>1126.1569101024463</v>
          </cell>
        </row>
        <row r="219">
          <cell r="L219">
            <v>163420.00222412925</v>
          </cell>
        </row>
        <row r="225">
          <cell r="L225">
            <v>550623.6659036933</v>
          </cell>
        </row>
        <row r="228">
          <cell r="L228">
            <v>5613.8465592620732</v>
          </cell>
        </row>
        <row r="302">
          <cell r="L302">
            <v>20951166.128255177</v>
          </cell>
        </row>
        <row r="308">
          <cell r="L308">
            <v>1487932.4432695669</v>
          </cell>
        </row>
        <row r="314">
          <cell r="L314">
            <v>669903.54738149722</v>
          </cell>
        </row>
        <row r="318">
          <cell r="L318">
            <v>1028421.6429152855</v>
          </cell>
        </row>
        <row r="319">
          <cell r="L319">
            <v>18047.151148916353</v>
          </cell>
        </row>
        <row r="320">
          <cell r="L320">
            <v>0</v>
          </cell>
        </row>
        <row r="321">
          <cell r="L321">
            <v>0</v>
          </cell>
        </row>
        <row r="325">
          <cell r="L325">
            <v>284733.07663424831</v>
          </cell>
        </row>
        <row r="326">
          <cell r="L326">
            <v>2102.1400227480758</v>
          </cell>
        </row>
        <row r="330">
          <cell r="L330">
            <v>3929.7874963633899</v>
          </cell>
        </row>
        <row r="333">
          <cell r="L333">
            <v>13695.270048177917</v>
          </cell>
        </row>
        <row r="356">
          <cell r="L356">
            <v>0</v>
          </cell>
        </row>
        <row r="357">
          <cell r="L357">
            <v>0</v>
          </cell>
        </row>
        <row r="358">
          <cell r="L358">
            <v>0</v>
          </cell>
        </row>
        <row r="359">
          <cell r="L359">
            <v>0</v>
          </cell>
        </row>
        <row r="365">
          <cell r="L365">
            <v>0</v>
          </cell>
        </row>
        <row r="371">
          <cell r="L371">
            <v>0</v>
          </cell>
        </row>
        <row r="375">
          <cell r="L375">
            <v>0</v>
          </cell>
        </row>
        <row r="376">
          <cell r="L376">
            <v>0</v>
          </cell>
        </row>
        <row r="377">
          <cell r="L377">
            <v>0</v>
          </cell>
        </row>
        <row r="378">
          <cell r="L378">
            <v>0</v>
          </cell>
        </row>
        <row r="382">
          <cell r="L382">
            <v>0</v>
          </cell>
        </row>
        <row r="383">
          <cell r="L383">
            <v>0</v>
          </cell>
        </row>
        <row r="387">
          <cell r="L387">
            <v>0</v>
          </cell>
        </row>
        <row r="391">
          <cell r="L391">
            <v>0</v>
          </cell>
        </row>
        <row r="414">
          <cell r="L414">
            <v>0</v>
          </cell>
        </row>
        <row r="415">
          <cell r="L415">
            <v>0</v>
          </cell>
        </row>
        <row r="416">
          <cell r="L416">
            <v>0</v>
          </cell>
        </row>
        <row r="417">
          <cell r="L417">
            <v>0</v>
          </cell>
        </row>
        <row r="423">
          <cell r="L423">
            <v>0</v>
          </cell>
        </row>
        <row r="429">
          <cell r="L429">
            <v>0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40">
          <cell r="L440">
            <v>0</v>
          </cell>
        </row>
        <row r="441">
          <cell r="L441">
            <v>0</v>
          </cell>
        </row>
        <row r="445">
          <cell r="L445">
            <v>0</v>
          </cell>
        </row>
        <row r="448">
          <cell r="L448">
            <v>0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2533932.205355952</v>
          </cell>
        </row>
        <row r="480">
          <cell r="L480">
            <v>416164.34731965268</v>
          </cell>
        </row>
        <row r="486">
          <cell r="L486">
            <v>168616.64512164268</v>
          </cell>
        </row>
        <row r="490">
          <cell r="L490">
            <v>258856.67851242216</v>
          </cell>
        </row>
        <row r="491">
          <cell r="L491">
            <v>4542.5197293372676</v>
          </cell>
        </row>
        <row r="492">
          <cell r="L492">
            <v>0</v>
          </cell>
        </row>
        <row r="493">
          <cell r="L493">
            <v>0</v>
          </cell>
        </row>
        <row r="497">
          <cell r="L497">
            <v>71668.13241233569</v>
          </cell>
        </row>
        <row r="498">
          <cell r="L498">
            <v>529.11467568309263</v>
          </cell>
        </row>
        <row r="502">
          <cell r="L502">
            <v>989.13878911051779</v>
          </cell>
        </row>
        <row r="505">
          <cell r="L505">
            <v>3469.7579900663882</v>
          </cell>
        </row>
        <row r="528">
          <cell r="L528">
            <v>0</v>
          </cell>
        </row>
        <row r="529">
          <cell r="L529">
            <v>0</v>
          </cell>
        </row>
        <row r="530">
          <cell r="L530">
            <v>0</v>
          </cell>
        </row>
        <row r="531">
          <cell r="L531">
            <v>-53499.098456716012</v>
          </cell>
        </row>
        <row r="537">
          <cell r="L537">
            <v>-9013.9487135860563</v>
          </cell>
        </row>
        <row r="543">
          <cell r="L543">
            <v>-3652.1672295392532</v>
          </cell>
        </row>
        <row r="547">
          <cell r="L547">
            <v>-5606.7292628697987</v>
          </cell>
        </row>
        <row r="548">
          <cell r="L548">
            <v>-98.389110298409591</v>
          </cell>
        </row>
        <row r="549">
          <cell r="L549">
            <v>0</v>
          </cell>
        </row>
        <row r="550">
          <cell r="L550">
            <v>0</v>
          </cell>
        </row>
        <row r="554">
          <cell r="L554">
            <v>-1552.3022914480725</v>
          </cell>
        </row>
        <row r="555">
          <cell r="L555">
            <v>-11.46040640177609</v>
          </cell>
        </row>
        <row r="559">
          <cell r="L559">
            <v>-21.424339622280215</v>
          </cell>
        </row>
        <row r="562">
          <cell r="L562">
            <v>-75.837497517209854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5">
          <cell r="L595">
            <v>0</v>
          </cell>
        </row>
        <row r="601">
          <cell r="L601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0</v>
          </cell>
        </row>
        <row r="608">
          <cell r="L608">
            <v>0</v>
          </cell>
        </row>
        <row r="612">
          <cell r="L612">
            <v>0</v>
          </cell>
        </row>
        <row r="613">
          <cell r="L613">
            <v>0</v>
          </cell>
        </row>
        <row r="617">
          <cell r="L617">
            <v>0</v>
          </cell>
        </row>
        <row r="620">
          <cell r="L620">
            <v>0</v>
          </cell>
        </row>
        <row r="698">
          <cell r="L698">
            <v>3934269.0712397015</v>
          </cell>
        </row>
        <row r="699">
          <cell r="H699">
            <v>1397741.3425823746</v>
          </cell>
          <cell r="I699">
            <v>91752.128273170587</v>
          </cell>
          <cell r="L699">
            <v>1234808.2508610517</v>
          </cell>
        </row>
        <row r="700">
          <cell r="H700">
            <v>74945.722681142201</v>
          </cell>
          <cell r="I700">
            <v>5074.5296137197874</v>
          </cell>
          <cell r="L700">
            <v>65574.932552513972</v>
          </cell>
        </row>
        <row r="702">
          <cell r="H702">
            <v>209025.46765031613</v>
          </cell>
          <cell r="I702">
            <v>7004.5440583936861</v>
          </cell>
          <cell r="L702">
            <v>50533.330436459211</v>
          </cell>
        </row>
        <row r="703">
          <cell r="H703">
            <v>58584.563643341877</v>
          </cell>
          <cell r="I703">
            <v>244.46420092602602</v>
          </cell>
          <cell r="L703">
            <v>1763.6537285358747</v>
          </cell>
        </row>
        <row r="704">
          <cell r="H704">
            <v>421906.50061348593</v>
          </cell>
          <cell r="I704">
            <v>23600.829192924914</v>
          </cell>
          <cell r="L704">
            <v>311611.14678061078</v>
          </cell>
        </row>
        <row r="705">
          <cell r="H705">
            <v>73550.247553426205</v>
          </cell>
          <cell r="I705">
            <v>4114.2926858953215</v>
          </cell>
          <cell r="L705">
            <v>54322.644834328872</v>
          </cell>
        </row>
        <row r="738">
          <cell r="L738">
            <v>6163317.125349869</v>
          </cell>
        </row>
        <row r="758">
          <cell r="L758">
            <v>63134706.278719008</v>
          </cell>
        </row>
        <row r="759">
          <cell r="L759">
            <v>24459931.187171981</v>
          </cell>
        </row>
        <row r="764">
          <cell r="L764">
            <v>3458768.5399062028</v>
          </cell>
        </row>
        <row r="765">
          <cell r="L765">
            <v>-73531.357307998856</v>
          </cell>
        </row>
        <row r="767">
          <cell r="L767">
            <v>951208.39863690117</v>
          </cell>
        </row>
        <row r="769">
          <cell r="L769">
            <v>243198.08219650859</v>
          </cell>
        </row>
        <row r="918">
          <cell r="J918">
            <v>0</v>
          </cell>
        </row>
        <row r="922">
          <cell r="J922">
            <v>562.35442074324351</v>
          </cell>
        </row>
        <row r="924">
          <cell r="J924">
            <v>172379829.61071068</v>
          </cell>
        </row>
        <row r="932">
          <cell r="L932">
            <v>22235.060697863923</v>
          </cell>
        </row>
        <row r="933">
          <cell r="L933">
            <v>24434.132635015303</v>
          </cell>
        </row>
        <row r="935">
          <cell r="L935">
            <v>3035874.0303772311</v>
          </cell>
        </row>
        <row r="944">
          <cell r="L944">
            <v>8.5480103638019958E-2</v>
          </cell>
        </row>
        <row r="962">
          <cell r="L962">
            <v>1288132009</v>
          </cell>
        </row>
        <row r="978">
          <cell r="L978">
            <v>505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S Bill Comparison"/>
      <sheetName val="TODS Rates Agg Dem Ex."/>
      <sheetName val="TODS Unit Costs (As-FIled)"/>
      <sheetName val="TODS Rates (As-Filed)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168C0-0FED-45C9-9E59-2283EDD3BD67}">
  <sheetPr>
    <pageSetUpPr fitToPage="1"/>
  </sheetPr>
  <dimension ref="A2:J45"/>
  <sheetViews>
    <sheetView tabSelected="1" view="pageLayout" zoomScaleNormal="85" workbookViewId="0">
      <selection activeCell="A10" sqref="A10"/>
    </sheetView>
  </sheetViews>
  <sheetFormatPr defaultRowHeight="15.75" x14ac:dyDescent="0.25"/>
  <cols>
    <col min="1" max="1" width="51.140625" style="155" customWidth="1"/>
    <col min="2" max="7" width="20.140625" style="155" customWidth="1"/>
    <col min="8" max="8" width="16.140625" style="155" customWidth="1"/>
    <col min="9" max="9" width="5.140625" style="155" customWidth="1"/>
    <col min="10" max="10" width="16.140625" style="155" customWidth="1"/>
    <col min="11" max="14" width="10.42578125" style="155" bestFit="1" customWidth="1"/>
    <col min="15" max="15" width="4.5703125" style="155" customWidth="1"/>
    <col min="16" max="16" width="11" style="155" customWidth="1"/>
    <col min="17" max="16384" width="9.140625" style="155"/>
  </cols>
  <sheetData>
    <row r="2" spans="1:8" ht="20.25" x14ac:dyDescent="0.3">
      <c r="A2" s="203" t="s">
        <v>162</v>
      </c>
      <c r="B2" s="203"/>
      <c r="C2" s="203"/>
      <c r="D2" s="203"/>
      <c r="E2" s="203"/>
      <c r="F2" s="203"/>
      <c r="G2" s="203"/>
      <c r="H2" s="203"/>
    </row>
    <row r="3" spans="1:8" ht="20.25" x14ac:dyDescent="0.3">
      <c r="A3" s="203" t="s">
        <v>163</v>
      </c>
      <c r="B3" s="203"/>
      <c r="C3" s="203"/>
      <c r="D3" s="203"/>
      <c r="E3" s="203"/>
      <c r="F3" s="203"/>
      <c r="G3" s="203"/>
      <c r="H3" s="203"/>
    </row>
    <row r="4" spans="1:8" ht="16.5" thickBot="1" x14ac:dyDescent="0.3"/>
    <row r="5" spans="1:8" ht="16.5" thickBot="1" x14ac:dyDescent="0.3">
      <c r="A5" s="156"/>
      <c r="B5" s="157" t="s">
        <v>170</v>
      </c>
      <c r="C5" s="158"/>
      <c r="D5" s="158"/>
      <c r="E5" s="159" t="s">
        <v>169</v>
      </c>
      <c r="F5" s="160"/>
      <c r="G5" s="161"/>
    </row>
    <row r="6" spans="1:8" s="168" customFormat="1" ht="63.75" customHeight="1" x14ac:dyDescent="0.25">
      <c r="A6" s="162"/>
      <c r="B6" s="163" t="s">
        <v>132</v>
      </c>
      <c r="C6" s="164" t="s">
        <v>168</v>
      </c>
      <c r="D6" s="164" t="s">
        <v>133</v>
      </c>
      <c r="E6" s="205" t="s">
        <v>132</v>
      </c>
      <c r="F6" s="206" t="s">
        <v>168</v>
      </c>
      <c r="G6" s="207" t="s">
        <v>133</v>
      </c>
    </row>
    <row r="7" spans="1:8" s="168" customFormat="1" x14ac:dyDescent="0.25">
      <c r="A7" s="162"/>
      <c r="B7" s="163"/>
      <c r="C7" s="164"/>
      <c r="D7" s="164"/>
      <c r="E7" s="165"/>
      <c r="F7" s="208"/>
      <c r="G7" s="167"/>
    </row>
    <row r="8" spans="1:8" x14ac:dyDescent="0.25">
      <c r="A8" s="169" t="s">
        <v>22</v>
      </c>
      <c r="B8" s="170">
        <f>+'TODS Rates Agg Dem Ex.'!F17</f>
        <v>2.2999999999999998</v>
      </c>
      <c r="C8" s="171">
        <f>+B8*$C24</f>
        <v>9064.2999999999993</v>
      </c>
      <c r="D8" s="172"/>
      <c r="E8" s="173">
        <f>+'TODS Rates Agg Dem Ex.'!K17</f>
        <v>3.76</v>
      </c>
      <c r="F8" s="174">
        <f>+E8*$C24</f>
        <v>14818.16</v>
      </c>
      <c r="G8" s="175"/>
    </row>
    <row r="9" spans="1:8" x14ac:dyDescent="0.25">
      <c r="A9" s="176" t="s">
        <v>122</v>
      </c>
      <c r="B9" s="170">
        <f>+'TODS Rates Agg Dem Ex.'!F18</f>
        <v>0.28939037990604927</v>
      </c>
      <c r="C9" s="171"/>
      <c r="D9" s="171">
        <f>+B9*$D24</f>
        <v>1072.7701383117246</v>
      </c>
      <c r="E9" s="173">
        <f>+'TODS Rates Agg Dem Ex.'!K18</f>
        <v>0.47309036019423706</v>
      </c>
      <c r="F9" s="174"/>
      <c r="G9" s="177">
        <f>+E9*$D24</f>
        <v>1753.7459652400369</v>
      </c>
    </row>
    <row r="10" spans="1:8" x14ac:dyDescent="0.25">
      <c r="A10" s="176" t="s">
        <v>167</v>
      </c>
      <c r="B10" s="170">
        <f>+'TODS Rates Agg Dem Ex.'!F19</f>
        <v>2.0106096200939505</v>
      </c>
      <c r="C10" s="171"/>
      <c r="D10" s="171">
        <f>+B10*$D24</f>
        <v>7453.3298616882748</v>
      </c>
      <c r="E10" s="173">
        <f>+'TODS Rates Agg Dem Ex.'!K19</f>
        <v>3.2869096398057627</v>
      </c>
      <c r="F10" s="174"/>
      <c r="G10" s="177">
        <f>+E10*$D24</f>
        <v>12184.574034759962</v>
      </c>
    </row>
    <row r="11" spans="1:8" x14ac:dyDescent="0.25">
      <c r="A11" s="169" t="s">
        <v>23</v>
      </c>
      <c r="B11" s="170">
        <f>+'TODS Rates Agg Dem Ex.'!F20</f>
        <v>7.63</v>
      </c>
      <c r="C11" s="171">
        <f>+B11*$C25</f>
        <v>32015.48</v>
      </c>
      <c r="D11" s="171"/>
      <c r="E11" s="173">
        <f>+'TODS Rates Agg Dem Ex.'!K20</f>
        <v>7.62</v>
      </c>
      <c r="F11" s="174">
        <f>+E11*$C25</f>
        <v>31973.52</v>
      </c>
      <c r="G11" s="177"/>
    </row>
    <row r="12" spans="1:8" x14ac:dyDescent="0.25">
      <c r="A12" s="176" t="s">
        <v>123</v>
      </c>
      <c r="B12" s="170">
        <f>+'TODS Rates Agg Dem Ex.'!F21</f>
        <v>0.96002112986224175</v>
      </c>
      <c r="C12" s="171"/>
      <c r="D12" s="171">
        <f>+B12*$D25</f>
        <v>3789.0682024774396</v>
      </c>
      <c r="E12" s="173">
        <f>+'TODS Rates Agg Dem Ex.'!K21</f>
        <v>0.95876291081917209</v>
      </c>
      <c r="F12" s="174"/>
      <c r="G12" s="177">
        <f>+E12*$D25</f>
        <v>3784.1021891059099</v>
      </c>
    </row>
    <row r="13" spans="1:8" x14ac:dyDescent="0.25">
      <c r="A13" s="176" t="s">
        <v>166</v>
      </c>
      <c r="B13" s="170">
        <f>+'TODS Rates Agg Dem Ex.'!F22</f>
        <v>6.6699788701377578</v>
      </c>
      <c r="C13" s="171"/>
      <c r="D13" s="171">
        <f>+B13*$D25</f>
        <v>26325.467285977265</v>
      </c>
      <c r="E13" s="173">
        <f>+'TODS Rates Agg Dem Ex.'!K22</f>
        <v>6.6612370891808279</v>
      </c>
      <c r="F13" s="174"/>
      <c r="G13" s="177">
        <f>+E13*$D25</f>
        <v>26290.964707620809</v>
      </c>
    </row>
    <row r="14" spans="1:8" x14ac:dyDescent="0.25">
      <c r="A14" s="169" t="s">
        <v>24</v>
      </c>
      <c r="B14" s="170">
        <f>+'TODS Rates Agg Dem Ex.'!F23</f>
        <v>9.89</v>
      </c>
      <c r="C14" s="171">
        <f>+B14*$C26</f>
        <v>43525.89</v>
      </c>
      <c r="D14" s="171"/>
      <c r="E14" s="173">
        <f>+'TODS Rates Agg Dem Ex.'!K23</f>
        <v>9.89</v>
      </c>
      <c r="F14" s="174">
        <f>+E14*$C26</f>
        <v>43525.89</v>
      </c>
      <c r="G14" s="177"/>
    </row>
    <row r="15" spans="1:8" x14ac:dyDescent="0.25">
      <c r="A15" s="176" t="s">
        <v>124</v>
      </c>
      <c r="B15" s="170">
        <f>+'TODS Rates Agg Dem Ex.'!F24</f>
        <v>1.2443786335960121</v>
      </c>
      <c r="C15" s="171"/>
      <c r="D15" s="171">
        <f>+B15*$D26</f>
        <v>5151.3382208709909</v>
      </c>
      <c r="E15" s="173">
        <f>+'TODS Rates Agg Dem Ex.'!K24</f>
        <v>1.2443786335960121</v>
      </c>
      <c r="F15" s="174"/>
      <c r="G15" s="177">
        <f>+E15*$D26</f>
        <v>5151.3382208709909</v>
      </c>
    </row>
    <row r="16" spans="1:8" ht="16.5" thickBot="1" x14ac:dyDescent="0.3">
      <c r="A16" s="176" t="s">
        <v>165</v>
      </c>
      <c r="B16" s="170">
        <f>+'TODS Rates Agg Dem Ex.'!F25</f>
        <v>8.6456213664039883</v>
      </c>
      <c r="C16" s="171"/>
      <c r="D16" s="171">
        <f>+B16*$D26</f>
        <v>35790.167546700693</v>
      </c>
      <c r="E16" s="178">
        <f>+'TODS Rates Agg Dem Ex.'!K25</f>
        <v>8.6456213664039883</v>
      </c>
      <c r="F16" s="179"/>
      <c r="G16" s="180">
        <f>+E16*$D26</f>
        <v>35790.167546700693</v>
      </c>
    </row>
    <row r="17" spans="1:10" x14ac:dyDescent="0.25">
      <c r="A17" s="181" t="s">
        <v>134</v>
      </c>
      <c r="B17" s="182"/>
      <c r="C17" s="183">
        <f>+SUM(C8:C16)</f>
        <v>84605.67</v>
      </c>
      <c r="D17" s="184">
        <f>+SUM(D8:D16)</f>
        <v>79582.141256026385</v>
      </c>
      <c r="E17" s="185"/>
      <c r="F17" s="186">
        <f>+SUM(F8:F16)</f>
        <v>90317.57</v>
      </c>
      <c r="G17" s="187">
        <f>+SUM(G8:G16)</f>
        <v>84954.892664298401</v>
      </c>
    </row>
    <row r="18" spans="1:10" x14ac:dyDescent="0.25">
      <c r="A18" s="188" t="s">
        <v>135</v>
      </c>
      <c r="B18" s="189"/>
      <c r="D18" s="190">
        <f>+D17-C17</f>
        <v>-5023.528743973613</v>
      </c>
      <c r="G18" s="190">
        <f>+G17-F17</f>
        <v>-5362.6773357016064</v>
      </c>
    </row>
    <row r="19" spans="1:10" ht="16.5" thickBot="1" x14ac:dyDescent="0.3">
      <c r="A19" s="191" t="s">
        <v>136</v>
      </c>
      <c r="B19" s="192"/>
      <c r="C19" s="193"/>
      <c r="D19" s="194">
        <f>+D18*12</f>
        <v>-60282.344927683356</v>
      </c>
      <c r="E19" s="179"/>
      <c r="F19" s="179"/>
      <c r="G19" s="194">
        <f>+G18*12</f>
        <v>-64352.128028419276</v>
      </c>
    </row>
    <row r="20" spans="1:10" x14ac:dyDescent="0.25">
      <c r="A20" s="195"/>
      <c r="D20" s="174"/>
      <c r="E20" s="174"/>
      <c r="F20" s="174"/>
      <c r="G20" s="174"/>
    </row>
    <row r="21" spans="1:10" x14ac:dyDescent="0.25">
      <c r="D21" s="196"/>
      <c r="E21" s="196"/>
      <c r="F21" s="196"/>
    </row>
    <row r="22" spans="1:10" ht="49.5" customHeight="1" x14ac:dyDescent="0.25">
      <c r="A22" s="197" t="s">
        <v>137</v>
      </c>
      <c r="B22" s="197"/>
      <c r="C22" s="166" t="s">
        <v>138</v>
      </c>
      <c r="D22" s="166" t="s">
        <v>139</v>
      </c>
    </row>
    <row r="23" spans="1:10" x14ac:dyDescent="0.25">
      <c r="C23" s="168"/>
    </row>
    <row r="24" spans="1:10" x14ac:dyDescent="0.25">
      <c r="A24" s="155" t="s">
        <v>140</v>
      </c>
      <c r="C24" s="198">
        <f>+J38</f>
        <v>3941</v>
      </c>
      <c r="D24" s="198">
        <f>MAX(B37:H37)</f>
        <v>3707</v>
      </c>
    </row>
    <row r="25" spans="1:10" x14ac:dyDescent="0.25">
      <c r="A25" s="155" t="s">
        <v>141</v>
      </c>
      <c r="C25" s="198">
        <v>4196</v>
      </c>
      <c r="D25" s="198">
        <f>+$D$24/$C$24*C25</f>
        <v>3946.8591727987819</v>
      </c>
    </row>
    <row r="26" spans="1:10" x14ac:dyDescent="0.25">
      <c r="A26" s="155" t="s">
        <v>142</v>
      </c>
      <c r="C26" s="198">
        <v>4401</v>
      </c>
      <c r="D26" s="198">
        <f>+$D$24/$C$24*C26</f>
        <v>4139.6871352448616</v>
      </c>
    </row>
    <row r="27" spans="1:10" x14ac:dyDescent="0.25">
      <c r="D27" s="168"/>
    </row>
    <row r="28" spans="1:10" x14ac:dyDescent="0.25">
      <c r="A28" s="197" t="s">
        <v>143</v>
      </c>
    </row>
    <row r="29" spans="1:10" x14ac:dyDescent="0.25">
      <c r="B29" s="199" t="s">
        <v>144</v>
      </c>
      <c r="C29" s="199" t="s">
        <v>145</v>
      </c>
      <c r="D29" s="199" t="s">
        <v>146</v>
      </c>
      <c r="E29" s="199" t="s">
        <v>147</v>
      </c>
      <c r="F29" s="199" t="s">
        <v>148</v>
      </c>
      <c r="G29" s="199" t="s">
        <v>149</v>
      </c>
      <c r="H29" s="199" t="s">
        <v>150</v>
      </c>
      <c r="I29" s="197"/>
      <c r="J29" s="200" t="s">
        <v>151</v>
      </c>
    </row>
    <row r="30" spans="1:10" x14ac:dyDescent="0.25">
      <c r="A30" s="155" t="s">
        <v>152</v>
      </c>
      <c r="B30" s="201">
        <v>501</v>
      </c>
      <c r="C30" s="201">
        <v>530</v>
      </c>
      <c r="D30" s="201">
        <v>432</v>
      </c>
      <c r="E30" s="201">
        <v>437</v>
      </c>
      <c r="F30" s="201">
        <v>553</v>
      </c>
      <c r="G30" s="201">
        <v>582</v>
      </c>
      <c r="H30" s="201">
        <v>557</v>
      </c>
      <c r="I30" s="201"/>
      <c r="J30" s="201">
        <f>MAX(B30:H30)</f>
        <v>582</v>
      </c>
    </row>
    <row r="31" spans="1:10" x14ac:dyDescent="0.25">
      <c r="A31" s="155" t="s">
        <v>153</v>
      </c>
      <c r="B31" s="201">
        <v>414</v>
      </c>
      <c r="C31" s="201">
        <v>570</v>
      </c>
      <c r="D31" s="201">
        <v>423</v>
      </c>
      <c r="E31" s="201">
        <v>431</v>
      </c>
      <c r="F31" s="201">
        <v>520</v>
      </c>
      <c r="G31" s="201">
        <v>413</v>
      </c>
      <c r="H31" s="201">
        <v>509</v>
      </c>
      <c r="I31" s="201"/>
      <c r="J31" s="201">
        <f t="shared" ref="J31:J36" si="0">MAX(B31:H31)</f>
        <v>570</v>
      </c>
    </row>
    <row r="32" spans="1:10" x14ac:dyDescent="0.25">
      <c r="A32" s="155" t="s">
        <v>154</v>
      </c>
      <c r="B32" s="201">
        <v>553</v>
      </c>
      <c r="C32" s="201">
        <v>419</v>
      </c>
      <c r="D32" s="201">
        <v>472</v>
      </c>
      <c r="E32" s="201">
        <v>564</v>
      </c>
      <c r="F32" s="201">
        <v>539</v>
      </c>
      <c r="G32" s="201">
        <v>412</v>
      </c>
      <c r="H32" s="201">
        <v>527</v>
      </c>
      <c r="I32" s="201"/>
      <c r="J32" s="201">
        <f t="shared" si="0"/>
        <v>564</v>
      </c>
    </row>
    <row r="33" spans="1:10" x14ac:dyDescent="0.25">
      <c r="A33" s="155" t="s">
        <v>155</v>
      </c>
      <c r="B33" s="201">
        <v>567</v>
      </c>
      <c r="C33" s="201">
        <v>416</v>
      </c>
      <c r="D33" s="201">
        <v>568</v>
      </c>
      <c r="E33" s="201">
        <v>410</v>
      </c>
      <c r="F33" s="201">
        <v>509</v>
      </c>
      <c r="G33" s="201">
        <v>498</v>
      </c>
      <c r="H33" s="201">
        <v>557</v>
      </c>
      <c r="I33" s="201"/>
      <c r="J33" s="201">
        <f t="shared" si="0"/>
        <v>568</v>
      </c>
    </row>
    <row r="34" spans="1:10" x14ac:dyDescent="0.25">
      <c r="A34" s="155" t="s">
        <v>156</v>
      </c>
      <c r="B34" s="201">
        <v>508</v>
      </c>
      <c r="C34" s="201">
        <v>403</v>
      </c>
      <c r="D34" s="201">
        <v>587</v>
      </c>
      <c r="E34" s="201">
        <v>552</v>
      </c>
      <c r="F34" s="201">
        <v>516</v>
      </c>
      <c r="G34" s="201">
        <v>408</v>
      </c>
      <c r="H34" s="201">
        <v>558</v>
      </c>
      <c r="I34" s="201"/>
      <c r="J34" s="201">
        <f t="shared" si="0"/>
        <v>587</v>
      </c>
    </row>
    <row r="35" spans="1:10" x14ac:dyDescent="0.25">
      <c r="A35" s="155" t="s">
        <v>157</v>
      </c>
      <c r="B35" s="201">
        <v>488</v>
      </c>
      <c r="C35" s="201">
        <v>547</v>
      </c>
      <c r="D35" s="201">
        <v>424</v>
      </c>
      <c r="E35" s="201">
        <v>477</v>
      </c>
      <c r="F35" s="201">
        <v>556</v>
      </c>
      <c r="G35" s="201">
        <v>446</v>
      </c>
      <c r="H35" s="201">
        <v>433</v>
      </c>
      <c r="I35" s="201"/>
      <c r="J35" s="201">
        <f t="shared" si="0"/>
        <v>556</v>
      </c>
    </row>
    <row r="36" spans="1:10" ht="16.5" thickBot="1" x14ac:dyDescent="0.3">
      <c r="A36" s="155" t="s">
        <v>158</v>
      </c>
      <c r="B36" s="201">
        <v>478</v>
      </c>
      <c r="C36" s="201">
        <v>500</v>
      </c>
      <c r="D36" s="201">
        <v>499</v>
      </c>
      <c r="E36" s="201">
        <v>430</v>
      </c>
      <c r="F36" s="201">
        <v>514</v>
      </c>
      <c r="G36" s="201">
        <v>476</v>
      </c>
      <c r="H36" s="201">
        <v>430</v>
      </c>
      <c r="I36" s="201"/>
      <c r="J36" s="201">
        <f t="shared" si="0"/>
        <v>514</v>
      </c>
    </row>
    <row r="37" spans="1:10" ht="16.5" thickBot="1" x14ac:dyDescent="0.3">
      <c r="A37" s="197" t="s">
        <v>159</v>
      </c>
      <c r="B37" s="201">
        <f>+SUM(B30:B36)</f>
        <v>3509</v>
      </c>
      <c r="C37" s="201">
        <f t="shared" ref="C37:H37" si="1">+SUM(C30:C36)</f>
        <v>3385</v>
      </c>
      <c r="D37" s="201">
        <f t="shared" si="1"/>
        <v>3405</v>
      </c>
      <c r="E37" s="201">
        <f t="shared" si="1"/>
        <v>3301</v>
      </c>
      <c r="F37" s="202">
        <f t="shared" si="1"/>
        <v>3707</v>
      </c>
      <c r="G37" s="201">
        <f t="shared" si="1"/>
        <v>3235</v>
      </c>
      <c r="H37" s="201">
        <f t="shared" si="1"/>
        <v>3571</v>
      </c>
      <c r="I37" s="201"/>
      <c r="J37" s="201"/>
    </row>
    <row r="38" spans="1:10" ht="16.5" thickBot="1" x14ac:dyDescent="0.3">
      <c r="A38" s="197" t="s">
        <v>160</v>
      </c>
      <c r="J38" s="202">
        <f>+SUM(J30:J36)</f>
        <v>3941</v>
      </c>
    </row>
    <row r="41" spans="1:10" x14ac:dyDescent="0.25">
      <c r="A41" s="197" t="s">
        <v>161</v>
      </c>
    </row>
    <row r="42" spans="1:10" x14ac:dyDescent="0.25">
      <c r="B42" s="199" t="s">
        <v>144</v>
      </c>
      <c r="C42" s="199" t="s">
        <v>145</v>
      </c>
      <c r="D42" s="199" t="s">
        <v>146</v>
      </c>
      <c r="E42" s="199" t="s">
        <v>147</v>
      </c>
      <c r="F42" s="199" t="s">
        <v>148</v>
      </c>
      <c r="G42" s="199" t="s">
        <v>149</v>
      </c>
      <c r="H42" s="199" t="s">
        <v>150</v>
      </c>
      <c r="I42" s="197"/>
      <c r="J42" s="200" t="s">
        <v>151</v>
      </c>
    </row>
    <row r="43" spans="1:10" ht="16.5" thickBot="1" x14ac:dyDescent="0.3">
      <c r="A43" s="155" t="s">
        <v>152</v>
      </c>
      <c r="B43" s="201">
        <f>+B37</f>
        <v>3509</v>
      </c>
      <c r="C43" s="201">
        <f t="shared" ref="C43:H43" si="2">+C37</f>
        <v>3385</v>
      </c>
      <c r="D43" s="201">
        <f t="shared" si="2"/>
        <v>3405</v>
      </c>
      <c r="E43" s="201">
        <f t="shared" si="2"/>
        <v>3301</v>
      </c>
      <c r="F43" s="201">
        <f t="shared" si="2"/>
        <v>3707</v>
      </c>
      <c r="G43" s="201">
        <f t="shared" si="2"/>
        <v>3235</v>
      </c>
      <c r="H43" s="201">
        <f t="shared" si="2"/>
        <v>3571</v>
      </c>
      <c r="I43" s="201"/>
      <c r="J43" s="201">
        <f>MAX(B43:H43)</f>
        <v>3707</v>
      </c>
    </row>
    <row r="44" spans="1:10" ht="16.5" thickBot="1" x14ac:dyDescent="0.3">
      <c r="A44" s="197" t="s">
        <v>159</v>
      </c>
      <c r="B44" s="201">
        <f>+B43</f>
        <v>3509</v>
      </c>
      <c r="C44" s="201">
        <f t="shared" ref="C44:H44" si="3">+C43</f>
        <v>3385</v>
      </c>
      <c r="D44" s="201">
        <f t="shared" si="3"/>
        <v>3405</v>
      </c>
      <c r="E44" s="201">
        <f t="shared" si="3"/>
        <v>3301</v>
      </c>
      <c r="F44" s="202">
        <f t="shared" si="3"/>
        <v>3707</v>
      </c>
      <c r="G44" s="201">
        <f t="shared" si="3"/>
        <v>3235</v>
      </c>
      <c r="H44" s="201">
        <f t="shared" si="3"/>
        <v>3571</v>
      </c>
      <c r="I44" s="201"/>
      <c r="J44" s="201"/>
    </row>
    <row r="45" spans="1:10" ht="16.5" thickBot="1" x14ac:dyDescent="0.3">
      <c r="A45" s="197" t="s">
        <v>160</v>
      </c>
      <c r="J45" s="202">
        <f>+J43</f>
        <v>3707</v>
      </c>
    </row>
  </sheetData>
  <mergeCells count="4">
    <mergeCell ref="B5:D5"/>
    <mergeCell ref="E5:G5"/>
    <mergeCell ref="A2:H2"/>
    <mergeCell ref="A3:H3"/>
  </mergeCells>
  <pageMargins left="0.7" right="0.7" top="0.75" bottom="0.75" header="0.3" footer="0.3"/>
  <pageSetup scale="59" orientation="landscape" horizontalDpi="1200" verticalDpi="1200" r:id="rId1"/>
  <headerFooter scaleWithDoc="0">
    <oddHeader>&amp;R&amp;"Times New Roman,Bold"&amp;12Kroger Response to Commission Staff's First Request for Information to the Kroger Co.
Attachment 1(d)_LGE Example Aggregate Demand TODS Billing Comparison
Page 1 of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82AA5-D750-45C7-A68F-6359861CAD04}">
  <sheetPr>
    <pageSetUpPr fitToPage="1"/>
  </sheetPr>
  <dimension ref="A1:M52"/>
  <sheetViews>
    <sheetView view="pageLayout" zoomScale="70" zoomScaleNormal="100" zoomScalePageLayoutView="70" workbookViewId="0">
      <selection activeCell="A5" sqref="A5:M5"/>
    </sheetView>
  </sheetViews>
  <sheetFormatPr defaultRowHeight="15" x14ac:dyDescent="0.25"/>
  <cols>
    <col min="2" max="2" width="56.42578125" customWidth="1"/>
    <col min="3" max="3" width="16.5703125" customWidth="1"/>
    <col min="4" max="4" width="14.42578125" customWidth="1"/>
    <col min="5" max="5" width="17.7109375" customWidth="1"/>
    <col min="6" max="6" width="14.85546875" customWidth="1"/>
    <col min="7" max="7" width="19.5703125" bestFit="1" customWidth="1"/>
    <col min="8" max="9" width="19.5703125" customWidth="1"/>
    <col min="10" max="10" width="3.7109375" customWidth="1"/>
    <col min="11" max="11" width="11.7109375" bestFit="1" customWidth="1"/>
    <col min="12" max="12" width="19.85546875" bestFit="1" customWidth="1"/>
  </cols>
  <sheetData>
    <row r="1" spans="1:13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0</v>
      </c>
    </row>
    <row r="2" spans="1:13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3"/>
      <c r="L2" s="4" t="s">
        <v>1</v>
      </c>
    </row>
    <row r="3" spans="1:13" x14ac:dyDescent="0.25">
      <c r="A3" s="5" t="s">
        <v>47</v>
      </c>
      <c r="B3" s="2"/>
      <c r="C3" s="2"/>
      <c r="D3" s="2"/>
      <c r="E3" s="2"/>
      <c r="F3" s="2"/>
      <c r="G3" s="2"/>
      <c r="H3" s="2"/>
      <c r="I3" s="2"/>
      <c r="J3" s="2"/>
      <c r="K3" s="3"/>
      <c r="L3" s="6" t="s">
        <v>2</v>
      </c>
    </row>
    <row r="4" spans="1:13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3"/>
      <c r="L4" s="6"/>
    </row>
    <row r="5" spans="1:13" ht="21" x14ac:dyDescent="0.35">
      <c r="A5" s="204" t="s">
        <v>171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</row>
    <row r="6" spans="1:13" ht="21" x14ac:dyDescent="0.35">
      <c r="A6" s="204" t="s">
        <v>164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</row>
    <row r="7" spans="1:13" x14ac:dyDescent="0.25">
      <c r="A7" s="5"/>
      <c r="B7" s="2"/>
      <c r="C7" s="2"/>
      <c r="D7" s="2"/>
      <c r="E7" s="2"/>
      <c r="F7" s="2"/>
      <c r="G7" s="2"/>
      <c r="H7" s="2"/>
      <c r="I7" s="2"/>
      <c r="J7" s="2"/>
      <c r="K7" s="3"/>
      <c r="L7" s="6"/>
    </row>
    <row r="8" spans="1:13" x14ac:dyDescent="0.25">
      <c r="A8" s="7"/>
      <c r="B8" s="53"/>
      <c r="C8" s="54"/>
      <c r="D8" s="8"/>
      <c r="E8" s="53"/>
      <c r="F8" s="55" t="s">
        <v>3</v>
      </c>
      <c r="G8" s="55"/>
      <c r="H8" s="55" t="s">
        <v>4</v>
      </c>
      <c r="I8" s="55"/>
      <c r="J8" s="56"/>
      <c r="K8" s="53"/>
      <c r="L8" s="54"/>
    </row>
    <row r="9" spans="1:13" x14ac:dyDescent="0.25">
      <c r="A9" s="9"/>
      <c r="B9" s="10"/>
      <c r="C9" s="53"/>
      <c r="D9" s="53"/>
      <c r="E9" s="53"/>
      <c r="F9" s="57" t="s">
        <v>3</v>
      </c>
      <c r="G9" s="11" t="s">
        <v>5</v>
      </c>
      <c r="H9" s="58"/>
      <c r="I9" s="12"/>
      <c r="J9" s="12"/>
      <c r="K9" s="12"/>
      <c r="L9" s="13" t="s">
        <v>5</v>
      </c>
    </row>
    <row r="10" spans="1:13" x14ac:dyDescent="0.25">
      <c r="A10" s="9"/>
      <c r="B10" s="12"/>
      <c r="C10" s="59" t="s">
        <v>6</v>
      </c>
      <c r="D10" s="14" t="s">
        <v>7</v>
      </c>
      <c r="E10" s="13" t="s">
        <v>8</v>
      </c>
      <c r="F10" s="59" t="s">
        <v>9</v>
      </c>
      <c r="G10" s="13" t="s">
        <v>10</v>
      </c>
      <c r="H10" s="59" t="s">
        <v>9</v>
      </c>
      <c r="I10" s="13" t="s">
        <v>11</v>
      </c>
      <c r="J10" s="12"/>
      <c r="K10" s="13" t="s">
        <v>12</v>
      </c>
      <c r="L10" s="13" t="s">
        <v>10</v>
      </c>
    </row>
    <row r="11" spans="1:13" x14ac:dyDescent="0.25">
      <c r="A11" s="15"/>
      <c r="B11" s="16"/>
      <c r="C11" s="17"/>
      <c r="D11" s="18" t="s">
        <v>13</v>
      </c>
      <c r="E11" s="19" t="s">
        <v>14</v>
      </c>
      <c r="F11" s="60" t="s">
        <v>15</v>
      </c>
      <c r="G11" s="19" t="s">
        <v>3</v>
      </c>
      <c r="H11" s="60" t="s">
        <v>15</v>
      </c>
      <c r="I11" s="19" t="s">
        <v>16</v>
      </c>
      <c r="J11" s="16"/>
      <c r="K11" s="19" t="s">
        <v>17</v>
      </c>
      <c r="L11" s="19" t="s">
        <v>18</v>
      </c>
    </row>
    <row r="12" spans="1:13" x14ac:dyDescent="0.25">
      <c r="A12" s="12"/>
      <c r="B12" s="12"/>
      <c r="C12" s="20"/>
      <c r="D12" s="13"/>
      <c r="E12" s="13"/>
      <c r="F12" s="21"/>
      <c r="G12" s="13"/>
      <c r="H12" s="13"/>
      <c r="I12" s="13"/>
      <c r="J12" s="22"/>
      <c r="K12" s="12"/>
      <c r="L12" s="13"/>
    </row>
    <row r="13" spans="1:13" x14ac:dyDescent="0.25">
      <c r="A13" s="61" t="s">
        <v>19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3" x14ac:dyDescent="0.25">
      <c r="A14" s="23"/>
      <c r="B14" s="24" t="s">
        <v>20</v>
      </c>
      <c r="C14" s="25">
        <v>184327.44326444159</v>
      </c>
      <c r="D14" s="12"/>
      <c r="E14" s="12"/>
      <c r="F14" s="26">
        <v>6.58</v>
      </c>
      <c r="G14" s="27">
        <v>1212874.58</v>
      </c>
      <c r="H14" s="28">
        <v>6.58</v>
      </c>
      <c r="I14" s="27">
        <v>1212874.58</v>
      </c>
      <c r="J14" s="12"/>
      <c r="K14" s="29">
        <v>6.58</v>
      </c>
      <c r="L14" s="27">
        <v>1212874.58</v>
      </c>
    </row>
    <row r="15" spans="1:13" x14ac:dyDescent="0.25">
      <c r="A15" s="23"/>
      <c r="B15" s="12" t="s">
        <v>21</v>
      </c>
      <c r="C15" s="12"/>
      <c r="D15" s="12"/>
      <c r="E15" s="25">
        <v>1288178137.3084989</v>
      </c>
      <c r="F15" s="30">
        <v>2.8129999999999999E-2</v>
      </c>
      <c r="G15" s="31">
        <v>36236451</v>
      </c>
      <c r="H15" s="30">
        <v>2.8129999999999999E-2</v>
      </c>
      <c r="I15" s="31">
        <v>36236451</v>
      </c>
      <c r="J15" s="12"/>
      <c r="K15" s="32">
        <v>3.2919999999999998E-2</v>
      </c>
      <c r="L15" s="27">
        <v>42406824.280000001</v>
      </c>
    </row>
    <row r="16" spans="1:13" x14ac:dyDescent="0.25">
      <c r="A16" s="23"/>
      <c r="B16" s="12"/>
      <c r="C16" s="12"/>
      <c r="D16" s="12"/>
      <c r="E16" s="12"/>
      <c r="F16" s="33"/>
      <c r="G16" s="34"/>
      <c r="H16" s="33"/>
      <c r="I16" s="34"/>
      <c r="J16" s="12"/>
      <c r="K16" s="35"/>
      <c r="L16" s="36"/>
    </row>
    <row r="17" spans="1:12" x14ac:dyDescent="0.25">
      <c r="A17" s="53"/>
      <c r="B17" s="12" t="s">
        <v>22</v>
      </c>
      <c r="C17" s="37"/>
      <c r="D17" s="25">
        <v>4406484.1747975927</v>
      </c>
      <c r="E17" s="12"/>
      <c r="F17" s="28">
        <v>2.2999999999999998</v>
      </c>
      <c r="G17" s="31">
        <v>10134913.6</v>
      </c>
      <c r="H17" s="28">
        <v>2.2999999999999998</v>
      </c>
      <c r="I17" s="31">
        <v>10134913.6</v>
      </c>
      <c r="J17" s="12"/>
      <c r="K17" s="26">
        <v>3.76</v>
      </c>
      <c r="L17" s="27">
        <v>16568380.5</v>
      </c>
    </row>
    <row r="18" spans="1:12" x14ac:dyDescent="0.25">
      <c r="A18" s="53"/>
      <c r="B18" s="141" t="s">
        <v>122</v>
      </c>
      <c r="C18" s="142"/>
      <c r="D18" s="143">
        <f>D17</f>
        <v>4406484.1747975927</v>
      </c>
      <c r="E18" s="142"/>
      <c r="F18" s="144">
        <f>+F17*'TODS Unit Costs (As-Filed)'!$D$62</f>
        <v>0.28939037990604927</v>
      </c>
      <c r="G18" s="142">
        <f>D18*F18</f>
        <v>1275194.1293946693</v>
      </c>
      <c r="H18" s="144"/>
      <c r="I18" s="145"/>
      <c r="J18" s="142"/>
      <c r="K18" s="144">
        <f>+K17*'TODS Unit Costs (As-Filed)'!$D$62</f>
        <v>0.47309036019423706</v>
      </c>
      <c r="L18" s="142">
        <f>+D18*K18</f>
        <v>2084665.1854451986</v>
      </c>
    </row>
    <row r="19" spans="1:12" x14ac:dyDescent="0.25">
      <c r="A19" s="53"/>
      <c r="B19" s="141" t="s">
        <v>167</v>
      </c>
      <c r="C19" s="142"/>
      <c r="D19" s="143">
        <f>D17</f>
        <v>4406484.1747975927</v>
      </c>
      <c r="E19" s="142"/>
      <c r="F19" s="144">
        <f>+F17-F18</f>
        <v>2.0106096200939505</v>
      </c>
      <c r="G19" s="142">
        <f>G17-G18</f>
        <v>8859719.4706053305</v>
      </c>
      <c r="H19" s="144"/>
      <c r="I19" s="145"/>
      <c r="J19" s="142"/>
      <c r="K19" s="144">
        <f>+K17-K18</f>
        <v>3.2869096398057627</v>
      </c>
      <c r="L19" s="142">
        <f>L17-L18</f>
        <v>14483715.314554801</v>
      </c>
    </row>
    <row r="20" spans="1:12" x14ac:dyDescent="0.25">
      <c r="A20" s="53"/>
      <c r="B20" s="12" t="s">
        <v>23</v>
      </c>
      <c r="C20" s="37"/>
      <c r="D20" s="25">
        <v>3268347.8466120353</v>
      </c>
      <c r="E20" s="12"/>
      <c r="F20" s="28">
        <v>7.63</v>
      </c>
      <c r="G20" s="31">
        <v>24937494.07</v>
      </c>
      <c r="H20" s="28">
        <v>7.63</v>
      </c>
      <c r="I20" s="31">
        <v>24937494.07</v>
      </c>
      <c r="J20" s="12"/>
      <c r="K20" s="26">
        <v>7.62</v>
      </c>
      <c r="L20" s="27">
        <v>24904810.59</v>
      </c>
    </row>
    <row r="21" spans="1:12" x14ac:dyDescent="0.25">
      <c r="A21" s="53"/>
      <c r="B21" s="141" t="s">
        <v>123</v>
      </c>
      <c r="C21" s="142"/>
      <c r="D21" s="143">
        <f>D20</f>
        <v>3268347.8466120353</v>
      </c>
      <c r="E21" s="142"/>
      <c r="F21" s="144">
        <f>+F20*'TODS Unit Costs (As-Filed)'!$D$62</f>
        <v>0.96002112986224175</v>
      </c>
      <c r="G21" s="142">
        <f>D21*F21</f>
        <v>3137682.9924873109</v>
      </c>
      <c r="H21" s="144"/>
      <c r="I21" s="145"/>
      <c r="J21" s="142"/>
      <c r="K21" s="144">
        <f>+K20*'TODS Unit Costs (As-Filed)'!$D$62</f>
        <v>0.95876291081917209</v>
      </c>
      <c r="L21" s="142">
        <f>+D21*K21</f>
        <v>3133570.6949873278</v>
      </c>
    </row>
    <row r="22" spans="1:12" x14ac:dyDescent="0.25">
      <c r="A22" s="53"/>
      <c r="B22" s="141" t="s">
        <v>166</v>
      </c>
      <c r="C22" s="142"/>
      <c r="D22" s="143">
        <f>D20</f>
        <v>3268347.8466120353</v>
      </c>
      <c r="E22" s="142"/>
      <c r="F22" s="144">
        <f>+F20-F21</f>
        <v>6.6699788701377578</v>
      </c>
      <c r="G22" s="142">
        <f>G20-G21</f>
        <v>21799811.077512689</v>
      </c>
      <c r="H22" s="144"/>
      <c r="I22" s="145"/>
      <c r="J22" s="142"/>
      <c r="K22" s="144">
        <f>+K20-K21</f>
        <v>6.6612370891808279</v>
      </c>
      <c r="L22" s="142">
        <f>L20-L21</f>
        <v>21771239.895012673</v>
      </c>
    </row>
    <row r="23" spans="1:12" x14ac:dyDescent="0.25">
      <c r="A23" s="53"/>
      <c r="B23" s="12" t="s">
        <v>24</v>
      </c>
      <c r="C23" s="37"/>
      <c r="D23" s="25">
        <v>3183735.8239008416</v>
      </c>
      <c r="E23" s="12"/>
      <c r="F23" s="28">
        <v>9.89</v>
      </c>
      <c r="G23" s="31">
        <v>31487147.300000001</v>
      </c>
      <c r="H23" s="28">
        <v>9.89</v>
      </c>
      <c r="I23" s="31">
        <v>31487147.300000001</v>
      </c>
      <c r="J23" s="12"/>
      <c r="K23" s="26">
        <v>9.89</v>
      </c>
      <c r="L23" s="27">
        <v>31487147.300000001</v>
      </c>
    </row>
    <row r="24" spans="1:12" x14ac:dyDescent="0.25">
      <c r="A24" s="53"/>
      <c r="B24" s="141" t="s">
        <v>124</v>
      </c>
      <c r="C24" s="142"/>
      <c r="D24" s="143">
        <f>D23</f>
        <v>3183735.8239008416</v>
      </c>
      <c r="E24" s="142"/>
      <c r="F24" s="144">
        <f>+F23*'TODS Unit Costs (As-Filed)'!$D$62</f>
        <v>1.2443786335960121</v>
      </c>
      <c r="G24" s="142">
        <f>D24*F24</f>
        <v>3961772.8342764033</v>
      </c>
      <c r="H24" s="144"/>
      <c r="I24" s="145"/>
      <c r="J24" s="142"/>
      <c r="K24" s="144">
        <f>+K23*'TODS Unit Costs (As-Filed)'!$D$62</f>
        <v>1.2443786335960121</v>
      </c>
      <c r="L24" s="142">
        <f>+D24*K24</f>
        <v>3961772.8342764033</v>
      </c>
    </row>
    <row r="25" spans="1:12" x14ac:dyDescent="0.25">
      <c r="A25" s="53"/>
      <c r="B25" s="141" t="s">
        <v>165</v>
      </c>
      <c r="C25" s="142"/>
      <c r="D25" s="143">
        <f>D23</f>
        <v>3183735.8239008416</v>
      </c>
      <c r="E25" s="142"/>
      <c r="F25" s="144">
        <f>+F23-F24</f>
        <v>8.6456213664039883</v>
      </c>
      <c r="G25" s="142">
        <f>G23-G24</f>
        <v>27525374.465723597</v>
      </c>
      <c r="H25" s="144"/>
      <c r="I25" s="145"/>
      <c r="J25" s="142"/>
      <c r="K25" s="144">
        <f>+K23-K24</f>
        <v>8.6456213664039883</v>
      </c>
      <c r="L25" s="142">
        <f>L23-L24</f>
        <v>27525374.465723597</v>
      </c>
    </row>
    <row r="26" spans="1:12" x14ac:dyDescent="0.25">
      <c r="A26" s="53"/>
      <c r="B26" s="12" t="s">
        <v>25</v>
      </c>
      <c r="C26" s="38"/>
      <c r="D26" s="25">
        <v>19992.599999999995</v>
      </c>
      <c r="E26" s="12"/>
      <c r="F26" s="28">
        <v>1.84</v>
      </c>
      <c r="G26" s="31">
        <v>36786.379999999997</v>
      </c>
      <c r="H26" s="28">
        <v>1.84</v>
      </c>
      <c r="I26" s="31">
        <v>36786.383999999998</v>
      </c>
      <c r="J26" s="12"/>
      <c r="K26" s="26">
        <v>1.93</v>
      </c>
      <c r="L26" s="27">
        <v>38585.72</v>
      </c>
    </row>
    <row r="27" spans="1:12" ht="16.5" x14ac:dyDescent="0.35">
      <c r="A27" s="53"/>
      <c r="B27" s="24"/>
      <c r="C27" s="12"/>
      <c r="D27" s="12"/>
      <c r="E27" s="12"/>
      <c r="F27" s="12"/>
      <c r="G27" s="39"/>
      <c r="H27" s="12"/>
      <c r="I27" s="39"/>
      <c r="J27" s="12"/>
      <c r="K27" s="12"/>
      <c r="L27" s="40"/>
    </row>
    <row r="28" spans="1:12" x14ac:dyDescent="0.25">
      <c r="A28" s="53"/>
      <c r="B28" s="12" t="s">
        <v>26</v>
      </c>
      <c r="C28" s="12"/>
      <c r="D28" s="12"/>
      <c r="E28" s="25">
        <v>-46128.432111807822</v>
      </c>
      <c r="F28" s="30">
        <v>2.8129999999999999E-2</v>
      </c>
      <c r="G28" s="31">
        <v>-1297.5927953051539</v>
      </c>
      <c r="H28" s="30">
        <v>2.8129999999999999E-2</v>
      </c>
      <c r="I28" s="31">
        <v>-1297.5927953051539</v>
      </c>
      <c r="J28" s="12"/>
      <c r="K28" s="32">
        <v>3.2919999999999998E-2</v>
      </c>
      <c r="L28" s="27">
        <v>-1518.5479851207135</v>
      </c>
    </row>
    <row r="29" spans="1:12" x14ac:dyDescent="0.25">
      <c r="A29" s="53"/>
      <c r="B29" s="12" t="s">
        <v>27</v>
      </c>
      <c r="C29" s="12"/>
      <c r="D29" s="12"/>
      <c r="E29" s="25">
        <v>0</v>
      </c>
      <c r="F29" s="30">
        <v>2.1729999999999999E-2</v>
      </c>
      <c r="G29" s="31">
        <v>0</v>
      </c>
      <c r="H29" s="30">
        <v>2.1729999999999999E-2</v>
      </c>
      <c r="I29" s="31">
        <v>0</v>
      </c>
      <c r="J29" s="12"/>
      <c r="K29" s="30">
        <v>2.1729999999999999E-2</v>
      </c>
      <c r="L29" s="27">
        <v>0</v>
      </c>
    </row>
    <row r="30" spans="1:12" x14ac:dyDescent="0.25">
      <c r="A30" s="53"/>
      <c r="B30" s="24" t="s">
        <v>28</v>
      </c>
      <c r="C30" s="12"/>
      <c r="D30" s="12"/>
      <c r="E30" s="12"/>
      <c r="F30" s="12"/>
      <c r="G30" s="31">
        <v>0</v>
      </c>
      <c r="H30" s="12"/>
      <c r="I30" s="31">
        <v>0</v>
      </c>
      <c r="J30" s="12"/>
      <c r="K30" s="12"/>
      <c r="L30" s="3">
        <v>0</v>
      </c>
    </row>
    <row r="31" spans="1:12" x14ac:dyDescent="0.25">
      <c r="A31" s="53"/>
      <c r="B31" s="24" t="s">
        <v>29</v>
      </c>
      <c r="C31" s="12"/>
      <c r="D31" s="12"/>
      <c r="E31" s="12"/>
      <c r="F31" s="12"/>
      <c r="G31" s="31">
        <v>0</v>
      </c>
      <c r="H31" s="12"/>
      <c r="I31" s="31">
        <v>0</v>
      </c>
      <c r="J31" s="12"/>
      <c r="K31" s="12"/>
      <c r="L31" s="3">
        <v>0</v>
      </c>
    </row>
    <row r="32" spans="1:12" x14ac:dyDescent="0.25">
      <c r="A32" s="53"/>
      <c r="B32" s="24" t="s">
        <v>30</v>
      </c>
      <c r="C32" s="12"/>
      <c r="D32" s="12"/>
      <c r="E32" s="12"/>
      <c r="F32" s="12"/>
      <c r="G32" s="31">
        <v>0</v>
      </c>
      <c r="H32" s="12"/>
      <c r="I32" s="31">
        <v>0</v>
      </c>
      <c r="J32" s="12"/>
      <c r="K32" s="12"/>
      <c r="L32" s="3">
        <v>0</v>
      </c>
    </row>
    <row r="33" spans="1:12" ht="16.5" x14ac:dyDescent="0.35">
      <c r="A33" s="53"/>
      <c r="B33" s="24"/>
      <c r="C33" s="12"/>
      <c r="D33" s="12"/>
      <c r="E33" s="12"/>
      <c r="F33" s="12"/>
      <c r="G33" s="39"/>
      <c r="H33" s="12"/>
      <c r="I33" s="39"/>
      <c r="J33" s="12"/>
      <c r="K33" s="12"/>
      <c r="L33" s="40"/>
    </row>
    <row r="34" spans="1:12" x14ac:dyDescent="0.25">
      <c r="A34" s="23"/>
      <c r="B34" s="41" t="s">
        <v>31</v>
      </c>
      <c r="C34" s="12"/>
      <c r="D34" s="12"/>
      <c r="E34" s="12"/>
      <c r="F34" s="12"/>
      <c r="G34" s="43">
        <f>SUM(G14:G32)-SUM(G18:G19,G21:G22,G24:G25)</f>
        <v>104044369.33720469</v>
      </c>
      <c r="H34" s="12"/>
      <c r="I34" s="43">
        <f>SUM(I14:I32)-SUM(I18:I19,I21:I22,I24:I25)</f>
        <v>104044369.34120469</v>
      </c>
      <c r="J34" s="12"/>
      <c r="K34" s="12"/>
      <c r="L34" s="43">
        <f>SUM(L14:L32)-SUM(L18:L19,L21:L22,L24:L25)</f>
        <v>116617104.42201491</v>
      </c>
    </row>
    <row r="35" spans="1:12" ht="16.5" x14ac:dyDescent="0.35">
      <c r="A35" s="23"/>
      <c r="B35" s="12" t="s">
        <v>32</v>
      </c>
      <c r="C35" s="12"/>
      <c r="D35" s="12"/>
      <c r="E35" s="12"/>
      <c r="F35" s="12"/>
      <c r="G35" s="44">
        <v>1</v>
      </c>
      <c r="H35" s="12"/>
      <c r="I35" s="44">
        <v>1</v>
      </c>
      <c r="J35" s="12"/>
      <c r="K35" s="12"/>
      <c r="L35" s="44">
        <v>1</v>
      </c>
    </row>
    <row r="36" spans="1:12" x14ac:dyDescent="0.25">
      <c r="A36" s="23"/>
      <c r="B36" s="41" t="s">
        <v>33</v>
      </c>
      <c r="C36" s="12"/>
      <c r="D36" s="12"/>
      <c r="E36" s="12"/>
      <c r="F36" s="12"/>
      <c r="G36" s="42">
        <f>+G34*G35</f>
        <v>104044369.33720469</v>
      </c>
      <c r="H36" s="12"/>
      <c r="I36" s="42">
        <f>+I34*I35</f>
        <v>104044369.34120469</v>
      </c>
      <c r="J36" s="12"/>
      <c r="K36" s="12"/>
      <c r="L36" s="42">
        <f>+L34*L35</f>
        <v>116617104.42201491</v>
      </c>
    </row>
    <row r="37" spans="1:12" x14ac:dyDescent="0.25">
      <c r="A37" s="23"/>
      <c r="B37" s="12"/>
      <c r="C37" s="12"/>
      <c r="D37" s="12"/>
      <c r="E37" s="6"/>
      <c r="F37" s="12"/>
      <c r="G37" s="45"/>
      <c r="H37" s="45"/>
      <c r="I37" s="45"/>
      <c r="J37" s="12"/>
      <c r="K37" s="12"/>
      <c r="L37" s="12"/>
    </row>
    <row r="38" spans="1:12" x14ac:dyDescent="0.25">
      <c r="A38" s="62"/>
      <c r="B38" s="12" t="s">
        <v>34</v>
      </c>
      <c r="C38" s="12"/>
      <c r="D38" s="12"/>
      <c r="E38" s="12"/>
      <c r="F38" s="12"/>
      <c r="G38" s="31">
        <v>-12452521.48</v>
      </c>
      <c r="H38" s="31"/>
      <c r="I38" s="31">
        <v>-2774395.9699999997</v>
      </c>
      <c r="J38" s="12"/>
      <c r="K38" s="12"/>
      <c r="L38" s="27">
        <v>-2774395.9699999997</v>
      </c>
    </row>
    <row r="39" spans="1:12" x14ac:dyDescent="0.25">
      <c r="A39" s="62"/>
      <c r="B39" s="12" t="s">
        <v>35</v>
      </c>
      <c r="C39" s="12"/>
      <c r="D39" s="12"/>
      <c r="E39" s="12"/>
      <c r="F39" s="12"/>
      <c r="G39" s="27"/>
      <c r="H39" s="27"/>
      <c r="I39" s="27">
        <v>356189.85999999987</v>
      </c>
      <c r="J39" s="12"/>
      <c r="K39" s="12"/>
      <c r="L39" s="27"/>
    </row>
    <row r="40" spans="1:12" x14ac:dyDescent="0.25">
      <c r="A40" s="62"/>
      <c r="B40" s="24"/>
      <c r="C40" s="12"/>
      <c r="D40" s="12"/>
      <c r="E40" s="12"/>
      <c r="F40" s="12"/>
      <c r="G40" s="46"/>
      <c r="H40" s="46"/>
      <c r="I40" s="46"/>
      <c r="J40" s="12"/>
      <c r="K40" s="12"/>
      <c r="L40" s="12"/>
    </row>
    <row r="41" spans="1:12" ht="16.5" x14ac:dyDescent="0.35">
      <c r="A41" s="53"/>
      <c r="B41" s="47" t="s">
        <v>36</v>
      </c>
      <c r="C41" s="12"/>
      <c r="D41" s="12"/>
      <c r="E41" s="12"/>
      <c r="F41" s="48"/>
      <c r="G41" s="49">
        <f>+G36+G38</f>
        <v>91591847.857204691</v>
      </c>
      <c r="H41" s="49"/>
      <c r="I41" s="49">
        <f>+I36+I38</f>
        <v>101269973.37120469</v>
      </c>
      <c r="J41" s="12"/>
      <c r="K41" s="12"/>
      <c r="L41" s="49">
        <f>+L36+L38</f>
        <v>113842708.45201491</v>
      </c>
    </row>
    <row r="42" spans="1:12" x14ac:dyDescent="0.25">
      <c r="A42" s="23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25">
      <c r="A43" s="53"/>
      <c r="B43" s="24" t="s">
        <v>37</v>
      </c>
      <c r="C43" s="12"/>
      <c r="D43" s="12"/>
      <c r="E43" s="12"/>
      <c r="F43" s="12"/>
      <c r="G43" s="27">
        <v>-1884693.06</v>
      </c>
      <c r="H43" s="27"/>
      <c r="I43" s="27">
        <v>-1884693.06</v>
      </c>
      <c r="J43" s="12"/>
      <c r="K43" s="12"/>
      <c r="L43" s="27">
        <v>-1884693.06</v>
      </c>
    </row>
    <row r="44" spans="1:12" x14ac:dyDescent="0.25">
      <c r="A44" s="53"/>
      <c r="B44" s="24" t="s">
        <v>38</v>
      </c>
      <c r="C44" s="12"/>
      <c r="D44" s="12"/>
      <c r="E44" s="12"/>
      <c r="F44" s="12"/>
      <c r="G44" s="27">
        <v>233694.07999999999</v>
      </c>
      <c r="H44" s="27"/>
      <c r="I44" s="27">
        <v>233694.07999999999</v>
      </c>
      <c r="J44" s="12"/>
      <c r="K44" s="12"/>
      <c r="L44" s="27">
        <v>233694.07999999999</v>
      </c>
    </row>
    <row r="45" spans="1:12" x14ac:dyDescent="0.25">
      <c r="A45" s="53"/>
      <c r="B45" s="24" t="s">
        <v>39</v>
      </c>
      <c r="C45" s="12"/>
      <c r="D45" s="12"/>
      <c r="E45" s="12"/>
      <c r="F45" s="12"/>
      <c r="G45" s="27">
        <v>1093122.42</v>
      </c>
      <c r="H45" s="27"/>
      <c r="I45" s="27">
        <v>736932.56</v>
      </c>
      <c r="J45" s="12"/>
      <c r="K45" s="12"/>
      <c r="L45" s="27">
        <v>736932.56</v>
      </c>
    </row>
    <row r="46" spans="1:12" x14ac:dyDescent="0.25">
      <c r="A46" s="53"/>
      <c r="B46" s="24" t="s">
        <v>40</v>
      </c>
      <c r="C46" s="12"/>
      <c r="D46" s="12"/>
      <c r="E46" s="12"/>
      <c r="F46" s="12"/>
      <c r="G46" s="27">
        <v>-98449.39</v>
      </c>
      <c r="H46" s="27"/>
      <c r="I46" s="27">
        <v>-98449.39</v>
      </c>
      <c r="J46" s="12"/>
      <c r="K46" s="12"/>
      <c r="L46" s="27">
        <v>-98449.39</v>
      </c>
    </row>
    <row r="47" spans="1:12" x14ac:dyDescent="0.25">
      <c r="A47" s="23"/>
      <c r="B47" s="12" t="s">
        <v>41</v>
      </c>
      <c r="C47" s="12"/>
      <c r="D47" s="12"/>
      <c r="E47" s="12"/>
      <c r="F47" s="12"/>
      <c r="G47" s="27">
        <v>12452521.48</v>
      </c>
      <c r="H47" s="27"/>
      <c r="I47" s="27">
        <v>2774395.9699999997</v>
      </c>
      <c r="J47" s="12"/>
      <c r="K47" s="12"/>
      <c r="L47" s="27">
        <v>2774395.9699999997</v>
      </c>
    </row>
    <row r="48" spans="1:12" x14ac:dyDescent="0.25">
      <c r="A48" s="23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6.5" x14ac:dyDescent="0.35">
      <c r="A49" s="23"/>
      <c r="B49" s="47" t="s">
        <v>42</v>
      </c>
      <c r="C49" s="12"/>
      <c r="D49" s="12"/>
      <c r="E49" s="12"/>
      <c r="F49" s="12"/>
      <c r="G49" s="49">
        <f>+SUM(G41:G47)</f>
        <v>103388043.38720469</v>
      </c>
      <c r="H49" s="49"/>
      <c r="I49" s="49">
        <f>+SUM(I41:I47)</f>
        <v>103031853.53120469</v>
      </c>
      <c r="J49" s="12"/>
      <c r="K49" s="12"/>
      <c r="L49" s="49">
        <f>+SUM(L41:L47)</f>
        <v>115604588.6120149</v>
      </c>
    </row>
    <row r="50" spans="1:12" x14ac:dyDescent="0.25">
      <c r="A50" s="23"/>
      <c r="B50" s="12"/>
      <c r="C50" s="12"/>
      <c r="D50" s="12"/>
      <c r="E50" s="12"/>
      <c r="F50" s="12"/>
      <c r="G50" s="50"/>
      <c r="H50" s="50"/>
      <c r="I50" s="50"/>
      <c r="J50" s="12"/>
      <c r="K50" s="12"/>
      <c r="L50" s="12"/>
    </row>
    <row r="51" spans="1:12" x14ac:dyDescent="0.25">
      <c r="A51" s="23"/>
      <c r="B51" s="41" t="s">
        <v>43</v>
      </c>
      <c r="C51" s="12"/>
      <c r="D51" s="12"/>
      <c r="E51" s="12"/>
      <c r="F51" s="12"/>
      <c r="G51" s="12"/>
      <c r="H51" s="12"/>
      <c r="I51" s="12"/>
      <c r="J51" s="12"/>
      <c r="K51" s="12"/>
      <c r="L51" s="43">
        <f>+L49-G49</f>
        <v>12216545.224810213</v>
      </c>
    </row>
    <row r="52" spans="1:12" x14ac:dyDescent="0.25">
      <c r="A52" s="23"/>
      <c r="B52" s="12" t="s">
        <v>44</v>
      </c>
      <c r="C52" s="12"/>
      <c r="D52" s="7"/>
      <c r="E52" s="12"/>
      <c r="F52" s="12"/>
      <c r="G52" s="12"/>
      <c r="H52" s="12"/>
      <c r="I52" s="12"/>
      <c r="J52" s="12"/>
      <c r="K52" s="12"/>
      <c r="L52" s="51">
        <f>+L51/G49</f>
        <v>0.11816207004766793</v>
      </c>
    </row>
  </sheetData>
  <mergeCells count="4">
    <mergeCell ref="F8:G8"/>
    <mergeCell ref="H8:I8"/>
    <mergeCell ref="A5:M5"/>
    <mergeCell ref="A6:M6"/>
  </mergeCells>
  <pageMargins left="0.7" right="0.7" top="0.93214285714285716" bottom="0.75" header="0.3" footer="0.3"/>
  <pageSetup scale="52" orientation="landscape" r:id="rId1"/>
  <headerFooter scaleWithDoc="0">
    <oddHeader>&amp;R&amp;"Times New Roman,Bold"&amp;12'Kroger Response to Commission Staff's First Request for Information to the Kroger Co.
Attachment 1(d)_LGE Example Aggregate Demand TODS Billing Comparison
Page 2 of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2E140-77C2-4E41-A945-364F995F3D9B}">
  <sheetPr>
    <pageSetUpPr fitToPage="1"/>
  </sheetPr>
  <dimension ref="A1:N69"/>
  <sheetViews>
    <sheetView view="pageLayout" topLeftCell="A26" zoomScale="55" zoomScaleNormal="80" zoomScaleSheetLayoutView="80" zoomScalePageLayoutView="55" workbookViewId="0">
      <selection activeCell="K58" sqref="K58"/>
    </sheetView>
  </sheetViews>
  <sheetFormatPr defaultRowHeight="15" x14ac:dyDescent="0.25"/>
  <cols>
    <col min="1" max="1" width="4.5703125" style="65" customWidth="1"/>
    <col min="2" max="2" width="41.140625" style="65" bestFit="1" customWidth="1"/>
    <col min="3" max="3" width="30.5703125" style="65" hidden="1" customWidth="1"/>
    <col min="4" max="4" width="28.28515625" style="65" customWidth="1"/>
    <col min="5" max="5" width="22.5703125" style="65" bestFit="1" customWidth="1"/>
    <col min="6" max="6" width="20.5703125" style="65" customWidth="1"/>
    <col min="7" max="8" width="22.5703125" style="65" bestFit="1" customWidth="1"/>
    <col min="9" max="9" width="24.5703125" style="65" bestFit="1" customWidth="1"/>
    <col min="10" max="10" width="37" style="65" bestFit="1" customWidth="1"/>
    <col min="11" max="11" width="21.42578125" style="65" customWidth="1"/>
    <col min="12" max="12" width="17.85546875" style="65" customWidth="1"/>
    <col min="13" max="16384" width="9.140625" style="65"/>
  </cols>
  <sheetData>
    <row r="1" spans="1:14" ht="15.75" x14ac:dyDescent="0.25">
      <c r="A1" s="63" t="s">
        <v>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  <c r="M1" s="64"/>
      <c r="N1" s="64"/>
    </row>
    <row r="2" spans="1:14" ht="15.7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7"/>
      <c r="M2" s="67"/>
      <c r="N2" s="67"/>
    </row>
    <row r="3" spans="1:14" ht="15.75" x14ac:dyDescent="0.25">
      <c r="A3" s="68" t="s">
        <v>49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4"/>
      <c r="M3" s="64"/>
      <c r="N3" s="64"/>
    </row>
    <row r="4" spans="1:14" ht="15.75" x14ac:dyDescent="0.25">
      <c r="A4" s="68" t="s">
        <v>50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4"/>
      <c r="M4" s="64"/>
      <c r="N4" s="64"/>
    </row>
    <row r="5" spans="1:14" ht="15.75" x14ac:dyDescent="0.25">
      <c r="A5" s="69"/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4" ht="15.75" x14ac:dyDescent="0.25">
      <c r="A6" s="68" t="s">
        <v>51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4"/>
      <c r="M6" s="64"/>
      <c r="N6" s="64"/>
    </row>
    <row r="8" spans="1:14" ht="15.75" thickBot="1" x14ac:dyDescent="0.3"/>
    <row r="9" spans="1:14" ht="15.75" thickBot="1" x14ac:dyDescent="0.3">
      <c r="A9" s="71"/>
      <c r="B9" s="72"/>
      <c r="C9" s="73"/>
      <c r="D9" s="71"/>
      <c r="E9" s="74" t="s">
        <v>52</v>
      </c>
      <c r="F9" s="75"/>
      <c r="G9" s="76" t="s">
        <v>53</v>
      </c>
      <c r="H9" s="74" t="s">
        <v>54</v>
      </c>
      <c r="I9" s="75"/>
      <c r="J9" s="77" t="s">
        <v>55</v>
      </c>
      <c r="K9" s="73"/>
      <c r="L9" s="78"/>
    </row>
    <row r="10" spans="1:14" x14ac:dyDescent="0.25">
      <c r="A10" s="79"/>
      <c r="B10" s="80"/>
      <c r="C10" s="81"/>
      <c r="D10" s="81"/>
      <c r="E10" s="73"/>
      <c r="F10" s="73"/>
      <c r="G10" s="73"/>
      <c r="H10" s="73"/>
      <c r="I10" s="73"/>
      <c r="J10" s="71"/>
      <c r="K10" s="81"/>
      <c r="L10" s="82"/>
    </row>
    <row r="11" spans="1:14" x14ac:dyDescent="0.25">
      <c r="A11" s="79"/>
      <c r="B11" s="80"/>
      <c r="C11" s="81"/>
      <c r="D11" s="81"/>
      <c r="E11" s="81"/>
      <c r="F11" s="81"/>
      <c r="G11" s="81"/>
      <c r="H11" s="81"/>
      <c r="I11" s="81"/>
      <c r="J11" s="79"/>
      <c r="K11" s="81"/>
      <c r="L11" s="82"/>
    </row>
    <row r="12" spans="1:14" ht="15.75" thickBot="1" x14ac:dyDescent="0.3">
      <c r="A12" s="83"/>
      <c r="B12" s="84" t="s">
        <v>56</v>
      </c>
      <c r="C12" s="85" t="s">
        <v>57</v>
      </c>
      <c r="D12" s="85" t="s">
        <v>58</v>
      </c>
      <c r="E12" s="86" t="s">
        <v>59</v>
      </c>
      <c r="F12" s="86" t="s">
        <v>60</v>
      </c>
      <c r="G12" s="86" t="s">
        <v>59</v>
      </c>
      <c r="H12" s="86" t="s">
        <v>59</v>
      </c>
      <c r="I12" s="86" t="s">
        <v>61</v>
      </c>
      <c r="J12" s="87" t="s">
        <v>61</v>
      </c>
      <c r="K12" s="86" t="s">
        <v>8</v>
      </c>
      <c r="L12" s="86" t="s">
        <v>62</v>
      </c>
    </row>
    <row r="13" spans="1:14" x14ac:dyDescent="0.25">
      <c r="A13" s="88"/>
      <c r="B13" s="89"/>
      <c r="C13" s="90"/>
      <c r="D13" s="91"/>
      <c r="E13" s="92"/>
      <c r="F13" s="92"/>
      <c r="G13" s="92"/>
      <c r="H13" s="92"/>
      <c r="I13" s="92"/>
      <c r="J13" s="92"/>
      <c r="K13" s="93"/>
      <c r="L13" s="94"/>
    </row>
    <row r="14" spans="1:14" x14ac:dyDescent="0.25">
      <c r="A14" s="95" t="s">
        <v>63</v>
      </c>
      <c r="B14" s="96" t="s">
        <v>64</v>
      </c>
      <c r="C14" s="97"/>
      <c r="D14" s="98">
        <f>'[1]WSS-32'!L176</f>
        <v>283566434.68231529</v>
      </c>
      <c r="E14" s="99">
        <f>'[1]WSS-32'!L125+'[1]WSS-32'!L126+'[1]WSS-32'!L127</f>
        <v>197762667.89553675</v>
      </c>
      <c r="F14" s="99">
        <f>'[1]WSS-32'!L128</f>
        <v>8961060.6950090025</v>
      </c>
      <c r="G14" s="99">
        <f>'[1]WSS-32'!L137</f>
        <v>35415009.658602752</v>
      </c>
      <c r="H14" s="99">
        <f>'[1]WSS-32'!L147+'[1]WSS-32'!L149+'[1]WSS-32'!L154+'[1]WSS-32'!L143</f>
        <v>40506141.887092248</v>
      </c>
      <c r="I14" s="99">
        <f>'[1]WSS-32'!L148+'[1]WSS-32'!L150+'[1]WSS-32'!L155+'[1]WSS-32'!L159+'[1]WSS-32'!L162+'[1]WSS-32'!L165</f>
        <v>805949.6374307205</v>
      </c>
      <c r="J14" s="99">
        <f>'[1]WSS-32'!L168+'[1]WSS-32'!L171</f>
        <v>115604.90864384332</v>
      </c>
      <c r="K14" s="100">
        <f>SUM(E14:J14)</f>
        <v>283566434.68231529</v>
      </c>
      <c r="L14" s="97" t="str">
        <f>IF(ABS(K14-D14)&lt;0.01,"ok","err")</f>
        <v>ok</v>
      </c>
    </row>
    <row r="15" spans="1:14" x14ac:dyDescent="0.25">
      <c r="A15" s="101" t="s">
        <v>65</v>
      </c>
      <c r="B15" s="102" t="s">
        <v>66</v>
      </c>
      <c r="C15" s="97"/>
      <c r="D15" s="98">
        <v>0</v>
      </c>
      <c r="E15" s="99">
        <f t="shared" ref="E15:J15" si="0">(E14/$D$14)*$D$15</f>
        <v>0</v>
      </c>
      <c r="F15" s="99">
        <f t="shared" si="0"/>
        <v>0</v>
      </c>
      <c r="G15" s="99">
        <f t="shared" si="0"/>
        <v>0</v>
      </c>
      <c r="H15" s="99">
        <f t="shared" si="0"/>
        <v>0</v>
      </c>
      <c r="I15" s="99">
        <f t="shared" si="0"/>
        <v>0</v>
      </c>
      <c r="J15" s="99">
        <f t="shared" si="0"/>
        <v>0</v>
      </c>
      <c r="K15" s="100">
        <f>SUM(E15:J15)</f>
        <v>0</v>
      </c>
      <c r="L15" s="97" t="str">
        <f>IF(ABS(K15-D15)&lt;0.01,"ok","err")</f>
        <v>ok</v>
      </c>
    </row>
    <row r="16" spans="1:14" x14ac:dyDescent="0.25">
      <c r="A16" s="101" t="s">
        <v>67</v>
      </c>
      <c r="B16" s="102" t="s">
        <v>68</v>
      </c>
      <c r="C16" s="97"/>
      <c r="D16" s="98">
        <f>D14+D15</f>
        <v>283566434.68231529</v>
      </c>
      <c r="E16" s="99">
        <f t="shared" ref="E16:K16" si="1">E14+E15</f>
        <v>197762667.89553675</v>
      </c>
      <c r="F16" s="99">
        <f t="shared" si="1"/>
        <v>8961060.6950090025</v>
      </c>
      <c r="G16" s="99">
        <f t="shared" si="1"/>
        <v>35415009.658602752</v>
      </c>
      <c r="H16" s="99">
        <f t="shared" si="1"/>
        <v>40506141.887092248</v>
      </c>
      <c r="I16" s="99">
        <f t="shared" si="1"/>
        <v>805949.6374307205</v>
      </c>
      <c r="J16" s="99">
        <f t="shared" si="1"/>
        <v>115604.90864384332</v>
      </c>
      <c r="K16" s="100">
        <f t="shared" si="1"/>
        <v>283566434.68231529</v>
      </c>
      <c r="L16" s="97" t="str">
        <f>IF(ABS(K16-D16)&lt;0.01,"ok","err")</f>
        <v>ok</v>
      </c>
    </row>
    <row r="17" spans="1:12" x14ac:dyDescent="0.25">
      <c r="A17" s="101"/>
      <c r="B17" s="103"/>
      <c r="C17" s="104"/>
      <c r="D17" s="105"/>
      <c r="E17" s="106"/>
      <c r="F17" s="106"/>
      <c r="G17" s="106"/>
      <c r="H17" s="106"/>
      <c r="I17" s="106"/>
      <c r="J17" s="106"/>
      <c r="K17" s="100"/>
      <c r="L17" s="107"/>
    </row>
    <row r="18" spans="1:12" x14ac:dyDescent="0.25">
      <c r="A18" s="101" t="s">
        <v>69</v>
      </c>
      <c r="B18" s="96" t="s">
        <v>70</v>
      </c>
      <c r="C18" s="97"/>
      <c r="D18" s="108">
        <f>'[1]WSS-32'!L944</f>
        <v>8.5480103638019958E-2</v>
      </c>
      <c r="E18" s="109">
        <f t="shared" ref="E18:J18" si="2">D18</f>
        <v>8.5480103638019958E-2</v>
      </c>
      <c r="F18" s="109">
        <f t="shared" si="2"/>
        <v>8.5480103638019958E-2</v>
      </c>
      <c r="G18" s="109">
        <f t="shared" si="2"/>
        <v>8.5480103638019958E-2</v>
      </c>
      <c r="H18" s="109">
        <f t="shared" si="2"/>
        <v>8.5480103638019958E-2</v>
      </c>
      <c r="I18" s="109">
        <f t="shared" si="2"/>
        <v>8.5480103638019958E-2</v>
      </c>
      <c r="J18" s="109">
        <f t="shared" si="2"/>
        <v>8.5480103638019958E-2</v>
      </c>
      <c r="K18" s="100"/>
      <c r="L18" s="97"/>
    </row>
    <row r="19" spans="1:12" x14ac:dyDescent="0.25">
      <c r="A19" s="110"/>
      <c r="B19" s="96"/>
      <c r="C19" s="104"/>
      <c r="D19" s="105"/>
      <c r="E19" s="106"/>
      <c r="F19" s="106"/>
      <c r="G19" s="106"/>
      <c r="H19" s="106"/>
      <c r="I19" s="106"/>
      <c r="J19" s="106"/>
      <c r="K19" s="100"/>
      <c r="L19" s="107"/>
    </row>
    <row r="20" spans="1:12" x14ac:dyDescent="0.25">
      <c r="A20" s="101" t="s">
        <v>71</v>
      </c>
      <c r="B20" s="96" t="s">
        <v>72</v>
      </c>
      <c r="C20" s="97"/>
      <c r="D20" s="98">
        <f>D18*D16</f>
        <v>24239288.224908128</v>
      </c>
      <c r="E20" s="99">
        <f t="shared" ref="E20:J20" si="3">E18*E16</f>
        <v>16904773.347441804</v>
      </c>
      <c r="F20" s="99">
        <f t="shared" si="3"/>
        <v>765992.39691595663</v>
      </c>
      <c r="G20" s="99">
        <f t="shared" si="3"/>
        <v>3027278.6959588411</v>
      </c>
      <c r="H20" s="99">
        <f t="shared" si="3"/>
        <v>3462469.2064849865</v>
      </c>
      <c r="I20" s="99">
        <f t="shared" si="3"/>
        <v>68892.658534602597</v>
      </c>
      <c r="J20" s="99">
        <f t="shared" si="3"/>
        <v>9881.9195719395557</v>
      </c>
      <c r="K20" s="100">
        <f>SUM(E20:J20)</f>
        <v>24239288.224908132</v>
      </c>
      <c r="L20" s="97" t="str">
        <f>IF(ABS(K20-D20)&lt;0.01,"ok","err")</f>
        <v>ok</v>
      </c>
    </row>
    <row r="21" spans="1:12" x14ac:dyDescent="0.25">
      <c r="A21" s="110"/>
      <c r="B21" s="96"/>
      <c r="C21" s="104"/>
      <c r="D21" s="105"/>
      <c r="E21" s="106"/>
      <c r="F21" s="106"/>
      <c r="G21" s="106"/>
      <c r="H21" s="106"/>
      <c r="I21" s="106"/>
      <c r="J21" s="106"/>
      <c r="K21" s="100"/>
      <c r="L21" s="107"/>
    </row>
    <row r="22" spans="1:12" x14ac:dyDescent="0.25">
      <c r="A22" s="101" t="s">
        <v>73</v>
      </c>
      <c r="B22" s="96" t="s">
        <v>74</v>
      </c>
      <c r="C22" s="97"/>
      <c r="D22" s="98">
        <f>'[1]WSS-32'!L738</f>
        <v>6163317.125349869</v>
      </c>
      <c r="E22" s="99">
        <f t="shared" ref="E22:J22" si="4">(E14/$D$14)*$D$22</f>
        <v>4298372.0522528253</v>
      </c>
      <c r="F22" s="99">
        <f t="shared" si="4"/>
        <v>194768.67530081133</v>
      </c>
      <c r="G22" s="99">
        <f t="shared" si="4"/>
        <v>769745.31829845684</v>
      </c>
      <c r="H22" s="99">
        <f t="shared" si="4"/>
        <v>880401.08926945925</v>
      </c>
      <c r="I22" s="99">
        <f t="shared" si="4"/>
        <v>17517.317266802966</v>
      </c>
      <c r="J22" s="99">
        <f t="shared" si="4"/>
        <v>2512.6729615137433</v>
      </c>
      <c r="K22" s="100">
        <f>SUM(E22:J22)</f>
        <v>6163317.12534987</v>
      </c>
      <c r="L22" s="97" t="str">
        <f>IF(ABS(K22-D22)&lt;0.01,"ok","err")</f>
        <v>ok</v>
      </c>
    </row>
    <row r="23" spans="1:12" x14ac:dyDescent="0.25">
      <c r="A23" s="110"/>
      <c r="B23" s="96"/>
      <c r="C23" s="104"/>
      <c r="D23" s="105"/>
      <c r="E23" s="106"/>
      <c r="F23" s="106"/>
      <c r="G23" s="106"/>
      <c r="H23" s="106"/>
      <c r="I23" s="106"/>
      <c r="J23" s="106"/>
      <c r="K23" s="100"/>
      <c r="L23" s="107"/>
    </row>
    <row r="24" spans="1:12" x14ac:dyDescent="0.25">
      <c r="A24" s="101" t="s">
        <v>75</v>
      </c>
      <c r="B24" s="96" t="s">
        <v>76</v>
      </c>
      <c r="C24" s="97"/>
      <c r="D24" s="98">
        <f>D20-D22</f>
        <v>18075971.09955826</v>
      </c>
      <c r="E24" s="99">
        <f t="shared" ref="E24:J24" si="5">E20-E22</f>
        <v>12606401.295188978</v>
      </c>
      <c r="F24" s="99">
        <f t="shared" si="5"/>
        <v>571223.72161514533</v>
      </c>
      <c r="G24" s="99">
        <f t="shared" si="5"/>
        <v>2257533.3776603844</v>
      </c>
      <c r="H24" s="99">
        <f t="shared" si="5"/>
        <v>2582068.1172155272</v>
      </c>
      <c r="I24" s="99">
        <f t="shared" si="5"/>
        <v>51375.341267799631</v>
      </c>
      <c r="J24" s="99">
        <f t="shared" si="5"/>
        <v>7369.2466104258128</v>
      </c>
      <c r="K24" s="100">
        <f>SUM(E24:J24)</f>
        <v>18075971.09955826</v>
      </c>
      <c r="L24" s="97" t="str">
        <f>IF(ABS(K24-D24)&lt;0.01,"ok","err")</f>
        <v>ok</v>
      </c>
    </row>
    <row r="25" spans="1:12" x14ac:dyDescent="0.25">
      <c r="A25" s="110"/>
      <c r="B25" s="96"/>
      <c r="C25" s="104"/>
      <c r="D25" s="105"/>
      <c r="E25" s="106"/>
      <c r="F25" s="106"/>
      <c r="G25" s="106"/>
      <c r="H25" s="106"/>
      <c r="I25" s="106"/>
      <c r="J25" s="106"/>
      <c r="K25" s="100"/>
      <c r="L25" s="107"/>
    </row>
    <row r="26" spans="1:12" x14ac:dyDescent="0.25">
      <c r="A26" s="101" t="s">
        <v>77</v>
      </c>
      <c r="B26" s="96" t="s">
        <v>78</v>
      </c>
      <c r="C26" s="104"/>
      <c r="D26" s="98">
        <f>'[1]WSS-32'!L767+'[1]WSS-32'!L935</f>
        <v>3987082.4290141324</v>
      </c>
      <c r="E26" s="99">
        <f t="shared" ref="E26:J26" si="6">$D$26*(E24/$K$24)</f>
        <v>2780639.6027252604</v>
      </c>
      <c r="F26" s="99">
        <f t="shared" si="6"/>
        <v>125996.88564137304</v>
      </c>
      <c r="G26" s="99">
        <f t="shared" si="6"/>
        <v>497952.31544725189</v>
      </c>
      <c r="H26" s="99">
        <f t="shared" si="6"/>
        <v>569536.11863869487</v>
      </c>
      <c r="I26" s="99">
        <f t="shared" si="6"/>
        <v>11332.045140216802</v>
      </c>
      <c r="J26" s="99">
        <f t="shared" si="6"/>
        <v>1625.4614213351306</v>
      </c>
      <c r="K26" s="100">
        <f>SUM(E26:J26)</f>
        <v>3987082.4290141319</v>
      </c>
      <c r="L26" s="97" t="str">
        <f>IF(ABS(K26-D26)&lt;0.01,"ok","err")</f>
        <v>ok</v>
      </c>
    </row>
    <row r="27" spans="1:12" x14ac:dyDescent="0.25">
      <c r="A27" s="110"/>
      <c r="B27" s="96"/>
      <c r="C27" s="104"/>
      <c r="D27" s="105"/>
      <c r="E27" s="106"/>
      <c r="F27" s="106"/>
      <c r="G27" s="106"/>
      <c r="H27" s="106"/>
      <c r="I27" s="106"/>
      <c r="J27" s="106"/>
      <c r="K27" s="100"/>
      <c r="L27" s="107"/>
    </row>
    <row r="28" spans="1:12" x14ac:dyDescent="0.25">
      <c r="A28" s="101" t="s">
        <v>79</v>
      </c>
      <c r="B28" s="96" t="s">
        <v>80</v>
      </c>
      <c r="C28" s="97"/>
      <c r="D28" s="98">
        <f>'[1]WSS-32'!L758</f>
        <v>63134706.278719008</v>
      </c>
      <c r="E28" s="99">
        <f>'[1]WSS-32'!L182+'[1]WSS-32'!L183+'[1]WSS-32'!L184</f>
        <v>11023700.104048418</v>
      </c>
      <c r="F28" s="99">
        <f>'[1]WSS-32'!L185</f>
        <v>45453323.591409646</v>
      </c>
      <c r="G28" s="99">
        <f>'[1]WSS-32'!L194</f>
        <v>3518854.8915488119</v>
      </c>
      <c r="H28" s="99">
        <f>'[1]WSS-32'!L200+'[1]WSS-32'!L204+'[1]WSS-32'!L206+'[1]WSS-32'!L211</f>
        <v>2391775.4196617748</v>
      </c>
      <c r="I28" s="99">
        <f>'[1]WSS-32'!L205+'[1]WSS-32'!L207+'[1]WSS-32'!L212+'[1]WSS-32'!L216+'[1]WSS-32'!L219</f>
        <v>190814.75958740016</v>
      </c>
      <c r="J28" s="99">
        <f>'[1]WSS-32'!L225+'[1]WSS-32'!L228</f>
        <v>556237.51246295532</v>
      </c>
      <c r="K28" s="100">
        <f t="shared" ref="K28:K39" si="7">SUM(E28:J28)</f>
        <v>63134706.278719008</v>
      </c>
      <c r="L28" s="97" t="str">
        <f>IF(ABS(K28-D28)&lt;0.01,"ok","err")</f>
        <v>ok</v>
      </c>
    </row>
    <row r="29" spans="1:12" x14ac:dyDescent="0.25">
      <c r="A29" s="101" t="s">
        <v>81</v>
      </c>
      <c r="B29" s="96" t="s">
        <v>82</v>
      </c>
      <c r="C29" s="97"/>
      <c r="D29" s="111">
        <f>'[1]WSS-32'!L759</f>
        <v>24459931.187171981</v>
      </c>
      <c r="E29" s="112">
        <f>'[1]WSS-32'!L302</f>
        <v>20951166.128255177</v>
      </c>
      <c r="F29" s="112">
        <v>0</v>
      </c>
      <c r="G29" s="112">
        <f>'[1]WSS-32'!L308</f>
        <v>1487932.4432695669</v>
      </c>
      <c r="H29" s="112">
        <f>'[1]WSS-32'!L314+'[1]WSS-32'!L318+'[1]WSS-32'!L320+'[1]WSS-32'!L325</f>
        <v>1983058.2669310309</v>
      </c>
      <c r="I29" s="112">
        <f>'[1]WSS-32'!L319+'[1]WSS-32'!L321+'[1]WSS-32'!L326+'[1]WSS-32'!L330+'[1]WSS-32'!L333</f>
        <v>37774.348716205743</v>
      </c>
      <c r="J29" s="112">
        <v>0</v>
      </c>
      <c r="K29" s="100">
        <f t="shared" si="7"/>
        <v>24459931.187171981</v>
      </c>
      <c r="L29" s="97" t="str">
        <f>IF(ABS(K29-D29)&lt;0.01,"ok","err")</f>
        <v>ok</v>
      </c>
    </row>
    <row r="30" spans="1:12" x14ac:dyDescent="0.25">
      <c r="A30" s="101" t="s">
        <v>83</v>
      </c>
      <c r="B30" s="96" t="s">
        <v>84</v>
      </c>
      <c r="C30" s="97"/>
      <c r="D30" s="111">
        <f>'[1]WSS-32'!L764+'[1]WSS-32'!L765</f>
        <v>3385237.1825982039</v>
      </c>
      <c r="E30" s="112">
        <f>'[1]WSS-32'!L417+'[1]WSS-32'!L474+'[1]WSS-32'!L359+'[1]WSS-32'!L531+'[1]WSS-32'!L589</f>
        <v>2480433.1068992359</v>
      </c>
      <c r="F30" s="112">
        <f>'[1]WSS-32'!L356+'[1]WSS-32'!L357+'[1]WSS-32'!L358+'[1]WSS-32'!L414+'[1]WSS-32'!L415+'[1]WSS-32'!L416+'[1]WSS-32'!L471+'[1]WSS-32'!L472+'[1]WSS-32'!L473+'[1]WSS-32'!L528+'[1]WSS-32'!L529+'[1]WSS-32'!L530+'[1]WSS-32'!L586+'[1]WSS-32'!L587+'[1]WSS-32'!L588</f>
        <v>0</v>
      </c>
      <c r="G30" s="112">
        <f>'[1]WSS-32'!L365+'[1]WSS-32'!L423+'[1]WSS-32'!L480+'[1]WSS-32'!L537+'[1]WSS-32'!L595</f>
        <v>407150.39860606659</v>
      </c>
      <c r="H30" s="112">
        <f>'[1]WSS-32'!L371+'[1]WSS-32'!L375+'[1]WSS-32'!L377+'[1]WSS-32'!L382+'[1]WSS-32'!L429+'[1]WSS-32'!L433+'[1]WSS-32'!L435+'[1]WSS-32'!L440+'[1]WSS-32'!L486+'[1]WSS-32'!L490+'[1]WSS-32'!L492+'[1]WSS-32'!L497+'[1]WSS-32'!L543+'[1]WSS-32'!L547+'[1]WSS-32'!L549+'[1]WSS-32'!L554+'[1]WSS-32'!L601+'[1]WSS-32'!L605+'[1]WSS-32'!L607+'[1]WSS-32'!L612</f>
        <v>488330.25726254348</v>
      </c>
      <c r="I30" s="112">
        <f>'[1]WSS-32'!L376+'[1]WSS-32'!L378+'[1]WSS-32'!L383+'[1]WSS-32'!L387+'[1]WSS-32'!L391+'[1]WSS-32'!L434+'[1]WSS-32'!L436+'[1]WSS-32'!L441+'[1]WSS-32'!L445+'[1]WSS-32'!L448+'[1]WSS-32'!L491+'[1]WSS-32'!L493+'[1]WSS-32'!L498+'[1]WSS-32'!L502+'[1]WSS-32'!L505+'[1]WSS-32'!L548+'[1]WSS-32'!L550+'[1]WSS-32'!L555+'[1]WSS-32'!L559+'[1]WSS-32'!L562+'[1]WSS-32'!L606+'[1]WSS-32'!L608+'[1]WSS-32'!L613+'[1]WSS-32'!L617+'[1]WSS-32'!L620</f>
        <v>9323.4198303575904</v>
      </c>
      <c r="J30" s="112">
        <v>0</v>
      </c>
      <c r="K30" s="100">
        <f t="shared" si="7"/>
        <v>3385237.1825982034</v>
      </c>
      <c r="L30" s="97" t="str">
        <f>IF(ABS(K30-D30)&lt;0.01,"ok","err")</f>
        <v>ok</v>
      </c>
    </row>
    <row r="31" spans="1:12" x14ac:dyDescent="0.25">
      <c r="A31" s="101" t="s">
        <v>85</v>
      </c>
      <c r="B31" s="102" t="s">
        <v>86</v>
      </c>
      <c r="C31" s="97"/>
      <c r="D31" s="113">
        <f>'[1]WSS-32'!L769</f>
        <v>243198.08219650859</v>
      </c>
      <c r="E31" s="112">
        <f t="shared" ref="E31:J31" si="8">$D$31*(E14/$K$14)</f>
        <v>169609.28967542248</v>
      </c>
      <c r="F31" s="112">
        <f t="shared" si="8"/>
        <v>7685.3693135939247</v>
      </c>
      <c r="G31" s="112">
        <f t="shared" si="8"/>
        <v>30373.349510114505</v>
      </c>
      <c r="H31" s="112">
        <f t="shared" si="8"/>
        <v>34739.711119747924</v>
      </c>
      <c r="I31" s="112">
        <f t="shared" si="8"/>
        <v>691.21511644955842</v>
      </c>
      <c r="J31" s="112">
        <f t="shared" si="8"/>
        <v>99.147461180244775</v>
      </c>
      <c r="K31" s="100">
        <f t="shared" si="7"/>
        <v>243198.08219650862</v>
      </c>
      <c r="L31" s="97" t="str">
        <f>IF(ABS(K31-D31)&lt;0.01,"ok","err")</f>
        <v>ok</v>
      </c>
    </row>
    <row r="32" spans="1:12" x14ac:dyDescent="0.25">
      <c r="A32" s="101" t="s">
        <v>87</v>
      </c>
      <c r="B32" s="102" t="s">
        <v>88</v>
      </c>
      <c r="C32" s="97"/>
      <c r="D32" s="113">
        <v>0</v>
      </c>
      <c r="E32" s="112">
        <f>D32</f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00">
        <f t="shared" si="7"/>
        <v>0</v>
      </c>
      <c r="L32" s="97" t="str">
        <f t="shared" ref="L32:L39" si="9">IF(ABS(K32-D32)&lt;0.01,"ok","err")</f>
        <v>ok</v>
      </c>
    </row>
    <row r="33" spans="1:12" x14ac:dyDescent="0.25">
      <c r="A33" s="101" t="s">
        <v>89</v>
      </c>
      <c r="B33" s="102" t="s">
        <v>90</v>
      </c>
      <c r="C33" s="97"/>
      <c r="D33" s="113">
        <v>0</v>
      </c>
      <c r="E33" s="112">
        <v>0</v>
      </c>
      <c r="F33" s="112">
        <f>D33</f>
        <v>0</v>
      </c>
      <c r="G33" s="112">
        <v>0</v>
      </c>
      <c r="H33" s="112">
        <v>0</v>
      </c>
      <c r="I33" s="112">
        <v>0</v>
      </c>
      <c r="J33" s="112">
        <v>0</v>
      </c>
      <c r="K33" s="100">
        <f t="shared" si="7"/>
        <v>0</v>
      </c>
      <c r="L33" s="97" t="str">
        <f t="shared" si="9"/>
        <v>ok</v>
      </c>
    </row>
    <row r="34" spans="1:12" x14ac:dyDescent="0.25">
      <c r="A34" s="101" t="s">
        <v>91</v>
      </c>
      <c r="B34" s="96" t="s">
        <v>92</v>
      </c>
      <c r="C34" s="97"/>
      <c r="D34" s="113">
        <v>0</v>
      </c>
      <c r="E34" s="112">
        <v>0</v>
      </c>
      <c r="F34" s="112">
        <v>0</v>
      </c>
      <c r="G34" s="112">
        <f>D34</f>
        <v>0</v>
      </c>
      <c r="H34" s="112">
        <v>0</v>
      </c>
      <c r="I34" s="112">
        <v>0</v>
      </c>
      <c r="J34" s="112">
        <v>0</v>
      </c>
      <c r="K34" s="100">
        <f t="shared" si="7"/>
        <v>0</v>
      </c>
      <c r="L34" s="97" t="str">
        <f t="shared" si="9"/>
        <v>ok</v>
      </c>
    </row>
    <row r="35" spans="1:12" x14ac:dyDescent="0.25">
      <c r="A35" s="101" t="s">
        <v>93</v>
      </c>
      <c r="B35" s="96" t="s">
        <v>94</v>
      </c>
      <c r="C35" s="97"/>
      <c r="D35" s="113">
        <v>0</v>
      </c>
      <c r="E35" s="112">
        <v>0</v>
      </c>
      <c r="F35" s="112">
        <v>0</v>
      </c>
      <c r="G35" s="112">
        <v>0</v>
      </c>
      <c r="H35" s="112">
        <f>(H14/($I$14+$H$14)*$D$35)</f>
        <v>0</v>
      </c>
      <c r="I35" s="112">
        <f>(I14/($I$14+$H$14)*$D$35)</f>
        <v>0</v>
      </c>
      <c r="J35" s="112">
        <v>0</v>
      </c>
      <c r="K35" s="100">
        <f t="shared" si="7"/>
        <v>0</v>
      </c>
      <c r="L35" s="97" t="str">
        <f t="shared" si="9"/>
        <v>ok</v>
      </c>
    </row>
    <row r="36" spans="1:12" x14ac:dyDescent="0.25">
      <c r="A36" s="101" t="s">
        <v>95</v>
      </c>
      <c r="B36" s="96" t="s">
        <v>96</v>
      </c>
      <c r="C36" s="97"/>
      <c r="D36" s="111">
        <f>'[1]WSS-32'!L932+'[1]WSS-32'!L933</f>
        <v>46669.193332879222</v>
      </c>
      <c r="E36" s="112">
        <f t="shared" ref="E36:J36" si="10">(E14/($D$14)*$D$36)</f>
        <v>32547.660982452617</v>
      </c>
      <c r="F36" s="112">
        <f t="shared" si="10"/>
        <v>1474.8059815738188</v>
      </c>
      <c r="G36" s="112">
        <f t="shared" si="10"/>
        <v>5828.5809972353318</v>
      </c>
      <c r="H36" s="112">
        <f t="shared" si="10"/>
        <v>6666.4764784858371</v>
      </c>
      <c r="I36" s="112">
        <f t="shared" si="10"/>
        <v>132.64270677154286</v>
      </c>
      <c r="J36" s="112">
        <f t="shared" si="10"/>
        <v>19.026186360080636</v>
      </c>
      <c r="K36" s="100">
        <f t="shared" si="7"/>
        <v>46669.193332879222</v>
      </c>
      <c r="L36" s="97" t="str">
        <f t="shared" si="9"/>
        <v>ok</v>
      </c>
    </row>
    <row r="37" spans="1:12" x14ac:dyDescent="0.25">
      <c r="A37" s="101" t="s">
        <v>97</v>
      </c>
      <c r="B37" s="96" t="s">
        <v>98</v>
      </c>
      <c r="C37" s="114"/>
      <c r="D37" s="111">
        <v>0</v>
      </c>
      <c r="E37" s="112">
        <f>D37</f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00">
        <f t="shared" si="7"/>
        <v>0</v>
      </c>
      <c r="L37" s="97" t="str">
        <f t="shared" si="9"/>
        <v>ok</v>
      </c>
    </row>
    <row r="38" spans="1:12" x14ac:dyDescent="0.25">
      <c r="A38" s="101"/>
      <c r="B38" s="96"/>
      <c r="D38" s="98"/>
      <c r="E38" s="99"/>
      <c r="F38" s="99"/>
      <c r="G38" s="99"/>
      <c r="H38" s="99"/>
      <c r="I38" s="99"/>
      <c r="J38" s="99"/>
      <c r="K38" s="100"/>
      <c r="L38" s="97"/>
    </row>
    <row r="39" spans="1:12" x14ac:dyDescent="0.25">
      <c r="A39" s="101" t="s">
        <v>99</v>
      </c>
      <c r="B39" s="96" t="s">
        <v>100</v>
      </c>
      <c r="C39" s="97"/>
      <c r="D39" s="98">
        <f t="shared" ref="D39:J39" si="11">SUM(D32:D37)</f>
        <v>46669.193332879222</v>
      </c>
      <c r="E39" s="99">
        <f t="shared" si="11"/>
        <v>32547.660982452617</v>
      </c>
      <c r="F39" s="99">
        <f t="shared" si="11"/>
        <v>1474.8059815738188</v>
      </c>
      <c r="G39" s="99">
        <f t="shared" si="11"/>
        <v>5828.5809972353318</v>
      </c>
      <c r="H39" s="99">
        <f t="shared" si="11"/>
        <v>6666.4764784858371</v>
      </c>
      <c r="I39" s="99">
        <f t="shared" si="11"/>
        <v>132.64270677154286</v>
      </c>
      <c r="J39" s="99">
        <f t="shared" si="11"/>
        <v>19.026186360080636</v>
      </c>
      <c r="K39" s="100">
        <f t="shared" si="7"/>
        <v>46669.193332879222</v>
      </c>
      <c r="L39" s="97" t="str">
        <f t="shared" si="9"/>
        <v>ok</v>
      </c>
    </row>
    <row r="40" spans="1:12" x14ac:dyDescent="0.25">
      <c r="A40" s="110"/>
      <c r="B40" s="96"/>
      <c r="C40" s="104"/>
      <c r="D40" s="98"/>
      <c r="E40" s="106"/>
      <c r="F40" s="106"/>
      <c r="G40" s="106"/>
      <c r="H40" s="106"/>
      <c r="I40" s="106"/>
      <c r="J40" s="106"/>
      <c r="K40" s="115"/>
      <c r="L40" s="107"/>
    </row>
    <row r="41" spans="1:12" x14ac:dyDescent="0.25">
      <c r="A41" s="101" t="s">
        <v>101</v>
      </c>
      <c r="B41" s="96" t="s">
        <v>102</v>
      </c>
      <c r="C41" s="116"/>
      <c r="D41" s="98">
        <f t="shared" ref="D41:J41" si="12">SUM(D28:D31)+D22+D26+D39+D24</f>
        <v>119496112.57794084</v>
      </c>
      <c r="E41" s="99">
        <f t="shared" si="12"/>
        <v>54342869.24002777</v>
      </c>
      <c r="F41" s="99">
        <f t="shared" si="12"/>
        <v>46354473.049262144</v>
      </c>
      <c r="G41" s="99">
        <f t="shared" si="12"/>
        <v>8975370.6753378883</v>
      </c>
      <c r="H41" s="99">
        <f t="shared" si="12"/>
        <v>8936575.4565772638</v>
      </c>
      <c r="I41" s="99">
        <f t="shared" si="12"/>
        <v>318961.08963200398</v>
      </c>
      <c r="J41" s="99">
        <f t="shared" si="12"/>
        <v>567863.06710377021</v>
      </c>
      <c r="K41" s="100">
        <f>SUM(E41:J41)</f>
        <v>119496112.57794085</v>
      </c>
      <c r="L41" s="97" t="str">
        <f>IF(ABS(K41-D41)&lt;0.01,"ok","err")</f>
        <v>ok</v>
      </c>
    </row>
    <row r="42" spans="1:12" x14ac:dyDescent="0.25">
      <c r="A42" s="110"/>
      <c r="B42" s="96"/>
      <c r="C42" s="104"/>
      <c r="D42" s="117"/>
      <c r="E42" s="106"/>
      <c r="F42" s="106"/>
      <c r="G42" s="106"/>
      <c r="H42" s="106"/>
      <c r="I42" s="106"/>
      <c r="J42" s="106"/>
      <c r="K42" s="115"/>
      <c r="L42" s="107"/>
    </row>
    <row r="43" spans="1:12" x14ac:dyDescent="0.25">
      <c r="A43" s="101" t="s">
        <v>103</v>
      </c>
      <c r="B43" s="102" t="s">
        <v>104</v>
      </c>
      <c r="C43" s="104"/>
      <c r="D43" s="98">
        <f>-'[1]WSS-32'!L700</f>
        <v>-65574.932552513972</v>
      </c>
      <c r="E43" s="118">
        <f>D43</f>
        <v>-65574.932552513972</v>
      </c>
      <c r="F43" s="118"/>
      <c r="G43" s="118"/>
      <c r="H43" s="118"/>
      <c r="I43" s="118"/>
      <c r="J43" s="118"/>
      <c r="K43" s="100">
        <f>SUM(E43:J43)</f>
        <v>-65574.932552513972</v>
      </c>
      <c r="L43" s="97" t="str">
        <f>IF(ABS(K43-D43)&lt;0.01,"ok","err")</f>
        <v>ok</v>
      </c>
    </row>
    <row r="44" spans="1:12" x14ac:dyDescent="0.25">
      <c r="A44" s="101" t="s">
        <v>105</v>
      </c>
      <c r="B44" s="102" t="s">
        <v>106</v>
      </c>
      <c r="C44" s="97"/>
      <c r="D44" s="111">
        <f>-'[1]WSS-32'!L698</f>
        <v>-3934269.0712397015</v>
      </c>
      <c r="E44" s="112">
        <v>0</v>
      </c>
      <c r="F44" s="112">
        <f>D44</f>
        <v>-3934269.0712397015</v>
      </c>
      <c r="G44" s="112">
        <v>0</v>
      </c>
      <c r="H44" s="112">
        <v>0</v>
      </c>
      <c r="I44" s="112">
        <v>0</v>
      </c>
      <c r="J44" s="112">
        <v>0</v>
      </c>
      <c r="K44" s="100">
        <f>SUM(E44:J44)</f>
        <v>-3934269.0712397015</v>
      </c>
      <c r="L44" s="97" t="str">
        <f>IF(ABS(K44-D44)&lt;0.01,"ok","err")</f>
        <v>ok</v>
      </c>
    </row>
    <row r="45" spans="1:12" x14ac:dyDescent="0.25">
      <c r="A45" s="101" t="s">
        <v>107</v>
      </c>
      <c r="B45" s="102" t="s">
        <v>108</v>
      </c>
      <c r="C45" s="97"/>
      <c r="D45" s="111">
        <f>-'[1]WSS-32'!L699</f>
        <v>-1234808.2508610517</v>
      </c>
      <c r="E45" s="112">
        <v>0</v>
      </c>
      <c r="F45" s="112">
        <v>0</v>
      </c>
      <c r="G45" s="112">
        <f>D45</f>
        <v>-1234808.2508610517</v>
      </c>
      <c r="H45" s="112">
        <v>0</v>
      </c>
      <c r="I45" s="112">
        <v>0</v>
      </c>
      <c r="J45" s="112">
        <v>0</v>
      </c>
      <c r="K45" s="100">
        <f>SUM(E45:J45)</f>
        <v>-1234808.2508610517</v>
      </c>
      <c r="L45" s="97" t="str">
        <f>IF(ABS(K45-D45)&lt;0.01,"ok","err")</f>
        <v>ok</v>
      </c>
    </row>
    <row r="46" spans="1:12" x14ac:dyDescent="0.25">
      <c r="A46" s="101" t="s">
        <v>109</v>
      </c>
      <c r="B46" s="102" t="s">
        <v>110</v>
      </c>
      <c r="C46" s="97"/>
      <c r="D46" s="113">
        <f>-'[1]WSS-32'!L702-'[1]WSS-32'!L703-'[1]WSS-32'!L704-'[1]WSS-32'!L705</f>
        <v>-418230.77577993472</v>
      </c>
      <c r="E46" s="112">
        <f>-(E14/($D$14)*('[1]WSS-32'!L702+'[1]WSS-32'!L703+'[1]WSS-32'!L704+'[1]WSS-32'!L705))</f>
        <v>-291679.21128225897</v>
      </c>
      <c r="F46" s="112">
        <f>(F14/($D$14)*-('[1]WSS-32'!L702+'[1]WSS-32'!L703+'[1]WSS-32'!L704+'[1]WSS-32'!L705))</f>
        <v>-13216.625481374112</v>
      </c>
      <c r="G46" s="112">
        <f>(G14/($D$14)*-('[1]WSS-32'!L702+'[1]WSS-32'!L703+'[1]WSS-32'!L704+'[1]WSS-32'!L705))</f>
        <v>-52233.428051402028</v>
      </c>
      <c r="H46" s="112">
        <f>(H14/($D$14)*-('[1]WSS-32'!L702+'[1]WSS-32'!L703+'[1]WSS-32'!L704+'[1]WSS-32'!L705))</f>
        <v>-59742.314580602324</v>
      </c>
      <c r="I46" s="112">
        <f>(I14/($D$14)*-('[1]WSS-32'!L702+'[1]WSS-32'!L703+'[1]WSS-32'!L704+'[1]WSS-32'!L705))</f>
        <v>-1188.6912584694178</v>
      </c>
      <c r="J46" s="112">
        <f>(J14/($D$14)*-('[1]WSS-32'!L702+'[1]WSS-32'!L703+'[1]WSS-32'!L704+'[1]WSS-32'!L705))</f>
        <v>-170.50512582792086</v>
      </c>
      <c r="K46" s="100">
        <f>SUM(E46:J46)</f>
        <v>-418230.77577993477</v>
      </c>
      <c r="L46" s="97" t="str">
        <f>IF(ABS(K46-D46)&lt;0.01,"ok","err")</f>
        <v>ok</v>
      </c>
    </row>
    <row r="47" spans="1:12" x14ac:dyDescent="0.25">
      <c r="A47" s="101" t="s">
        <v>111</v>
      </c>
      <c r="B47" s="102" t="s">
        <v>112</v>
      </c>
      <c r="C47" s="97"/>
      <c r="D47" s="113">
        <f>SUM(D43:D46)</f>
        <v>-5652883.0304332022</v>
      </c>
      <c r="E47" s="119">
        <f>SUM(E43:E46)</f>
        <v>-357254.14383477293</v>
      </c>
      <c r="F47" s="119">
        <f t="shared" ref="F47:I47" si="13">SUM(F43:F46)</f>
        <v>-3947485.6967210756</v>
      </c>
      <c r="G47" s="119">
        <f t="shared" si="13"/>
        <v>-1287041.6789124538</v>
      </c>
      <c r="H47" s="119">
        <f t="shared" si="13"/>
        <v>-59742.314580602324</v>
      </c>
      <c r="I47" s="119">
        <f t="shared" si="13"/>
        <v>-1188.6912584694178</v>
      </c>
      <c r="J47" s="119">
        <f>SUM(J43:J46)</f>
        <v>-170.50512582792086</v>
      </c>
      <c r="K47" s="100">
        <f>SUM(E47:J47)</f>
        <v>-5652883.0304332022</v>
      </c>
      <c r="L47" s="97" t="str">
        <f>IF(ABS(K47-D47)&lt;0.01,"ok","err")</f>
        <v>ok</v>
      </c>
    </row>
    <row r="48" spans="1:12" x14ac:dyDescent="0.25">
      <c r="A48" s="110"/>
      <c r="B48" s="102"/>
      <c r="D48" s="105"/>
      <c r="E48" s="106"/>
      <c r="F48" s="106"/>
      <c r="G48" s="106"/>
      <c r="H48" s="106"/>
      <c r="I48" s="106"/>
      <c r="J48" s="106"/>
      <c r="K48" s="115"/>
      <c r="L48" s="107"/>
    </row>
    <row r="49" spans="1:12" x14ac:dyDescent="0.25">
      <c r="A49" s="101" t="s">
        <v>113</v>
      </c>
      <c r="B49" s="102" t="s">
        <v>114</v>
      </c>
      <c r="C49" s="120" t="e">
        <f>'[1]WSS-32'!J924-SUM('[1]WSS-32'!H699:I705)-'[1]WSS-32'!#REF!-'[1]WSS-32'!J918-'[1]WSS-32'!J922</f>
        <v>#REF!</v>
      </c>
      <c r="D49" s="98">
        <f t="shared" ref="D49:J49" si="14">D41+D47</f>
        <v>113843229.54750763</v>
      </c>
      <c r="E49" s="99">
        <f t="shared" si="14"/>
        <v>53985615.096193001</v>
      </c>
      <c r="F49" s="99">
        <f t="shared" si="14"/>
        <v>42406987.352541067</v>
      </c>
      <c r="G49" s="99">
        <f t="shared" si="14"/>
        <v>7688328.9964254349</v>
      </c>
      <c r="H49" s="99">
        <f t="shared" si="14"/>
        <v>8876833.1419966612</v>
      </c>
      <c r="I49" s="99">
        <f t="shared" si="14"/>
        <v>317772.39837353455</v>
      </c>
      <c r="J49" s="99">
        <f t="shared" si="14"/>
        <v>567692.56197794224</v>
      </c>
      <c r="K49" s="100">
        <f>SUM(E49:J49)</f>
        <v>113843229.54750764</v>
      </c>
      <c r="L49" s="97" t="str">
        <f>IF(ABS(K49-D49)&lt;0.01,"ok","err")</f>
        <v>ok</v>
      </c>
    </row>
    <row r="50" spans="1:12" x14ac:dyDescent="0.25">
      <c r="A50" s="110"/>
      <c r="B50" s="102"/>
      <c r="C50" s="104"/>
      <c r="D50" s="98"/>
      <c r="E50" s="106"/>
      <c r="F50" s="106"/>
      <c r="G50" s="106"/>
      <c r="H50" s="106"/>
      <c r="I50" s="106"/>
      <c r="J50" s="106"/>
      <c r="K50" s="115"/>
      <c r="L50" s="107"/>
    </row>
    <row r="51" spans="1:12" x14ac:dyDescent="0.25">
      <c r="A51" s="101" t="s">
        <v>115</v>
      </c>
      <c r="B51" s="102" t="s">
        <v>116</v>
      </c>
      <c r="C51" s="97"/>
      <c r="D51" s="105"/>
      <c r="E51" s="119">
        <v>3183736</v>
      </c>
      <c r="F51" s="121">
        <f>'[1]WSS-32'!L962</f>
        <v>1288132009</v>
      </c>
      <c r="G51" s="121">
        <v>4406484</v>
      </c>
      <c r="H51" s="121">
        <f>G51</f>
        <v>4406484</v>
      </c>
      <c r="I51" s="121">
        <f>'[1]WSS-32'!$L$978*12</f>
        <v>6060</v>
      </c>
      <c r="J51" s="121">
        <f>'[1]WSS-32'!$L$978*12</f>
        <v>6060</v>
      </c>
      <c r="K51" s="115"/>
      <c r="L51" s="107"/>
    </row>
    <row r="52" spans="1:12" ht="15.75" thickBot="1" x14ac:dyDescent="0.3">
      <c r="A52" s="110"/>
      <c r="B52" s="102"/>
      <c r="C52" s="104"/>
      <c r="D52" s="105"/>
      <c r="E52" s="106"/>
      <c r="F52" s="106"/>
      <c r="G52" s="106"/>
      <c r="H52" s="106"/>
      <c r="I52" s="106"/>
      <c r="J52" s="106"/>
      <c r="K52" s="115"/>
      <c r="L52" s="107"/>
    </row>
    <row r="53" spans="1:12" ht="15.75" thickBot="1" x14ac:dyDescent="0.3">
      <c r="A53" s="122" t="s">
        <v>117</v>
      </c>
      <c r="B53" s="123" t="s">
        <v>118</v>
      </c>
      <c r="C53" s="124"/>
      <c r="D53" s="125"/>
      <c r="E53" s="126">
        <f t="shared" ref="E53:H53" si="15">E49/E51</f>
        <v>16.956687079642595</v>
      </c>
      <c r="F53" s="127">
        <f t="shared" si="15"/>
        <v>3.2921305468887753E-2</v>
      </c>
      <c r="G53" s="126">
        <f t="shared" si="15"/>
        <v>1.7447763333363822</v>
      </c>
      <c r="H53" s="126">
        <f t="shared" si="15"/>
        <v>2.0144934469288125</v>
      </c>
      <c r="I53" s="126">
        <f>I49/I51/30.5</f>
        <v>1.7192685082158445</v>
      </c>
      <c r="J53" s="126">
        <f>J49/J51/30.5</f>
        <v>3.0714308390301479</v>
      </c>
      <c r="K53" s="128">
        <f>I53+J53</f>
        <v>4.790699347245992</v>
      </c>
      <c r="L53" s="129"/>
    </row>
    <row r="55" spans="1:12" ht="15.75" x14ac:dyDescent="0.25">
      <c r="B55" s="146" t="s">
        <v>125</v>
      </c>
      <c r="C55" s="147"/>
      <c r="D55" s="148"/>
      <c r="F55" s="130"/>
      <c r="J55" s="131" t="s">
        <v>119</v>
      </c>
      <c r="K55" s="132">
        <f>I53+J53</f>
        <v>4.790699347245992</v>
      </c>
    </row>
    <row r="56" spans="1:12" ht="15.75" x14ac:dyDescent="0.25">
      <c r="B56" s="146"/>
      <c r="C56" s="149"/>
      <c r="D56" s="148"/>
      <c r="I56" s="133"/>
      <c r="J56" s="131" t="s">
        <v>120</v>
      </c>
      <c r="K56" s="134">
        <f>E53+G53+H53</f>
        <v>20.715956859907791</v>
      </c>
    </row>
    <row r="57" spans="1:12" x14ac:dyDescent="0.25">
      <c r="B57" s="146" t="s">
        <v>126</v>
      </c>
      <c r="C57" s="150"/>
      <c r="D57" s="151">
        <f>+E49</f>
        <v>53985615.096193001</v>
      </c>
      <c r="J57" s="131" t="s">
        <v>121</v>
      </c>
      <c r="K57" s="135">
        <f>F53</f>
        <v>3.2921305468887753E-2</v>
      </c>
    </row>
    <row r="58" spans="1:12" x14ac:dyDescent="0.25">
      <c r="B58" s="146" t="s">
        <v>127</v>
      </c>
      <c r="C58" s="150"/>
      <c r="D58" s="151">
        <f>+G49</f>
        <v>7688328.9964254349</v>
      </c>
      <c r="J58" s="136"/>
      <c r="K58" s="137"/>
    </row>
    <row r="59" spans="1:12" x14ac:dyDescent="0.25">
      <c r="B59" s="146" t="s">
        <v>128</v>
      </c>
      <c r="C59" s="150"/>
      <c r="D59" s="151">
        <f>+H49</f>
        <v>8876833.1419966612</v>
      </c>
      <c r="J59" s="136"/>
      <c r="K59" s="138"/>
    </row>
    <row r="60" spans="1:12" x14ac:dyDescent="0.25">
      <c r="B60" s="146" t="s">
        <v>129</v>
      </c>
      <c r="C60" s="150"/>
      <c r="D60" s="152">
        <f>SUM(D57:D59)</f>
        <v>70550777.234615102</v>
      </c>
      <c r="J60" s="136"/>
      <c r="K60" s="139"/>
    </row>
    <row r="61" spans="1:12" x14ac:dyDescent="0.25">
      <c r="B61" s="146"/>
      <c r="C61" s="150"/>
      <c r="D61" s="146"/>
      <c r="J61" s="136"/>
      <c r="K61" s="134"/>
    </row>
    <row r="62" spans="1:12" x14ac:dyDescent="0.25">
      <c r="B62" s="146" t="s">
        <v>130</v>
      </c>
      <c r="C62" s="150"/>
      <c r="D62" s="153">
        <f>+D59/D60</f>
        <v>0.12582190430697796</v>
      </c>
    </row>
    <row r="63" spans="1:12" x14ac:dyDescent="0.25">
      <c r="B63" s="146" t="s">
        <v>131</v>
      </c>
      <c r="C63" s="150"/>
      <c r="D63" s="154">
        <f>1-D62</f>
        <v>0.87417809569302207</v>
      </c>
    </row>
    <row r="69" spans="5:6" x14ac:dyDescent="0.25">
      <c r="E69" s="140"/>
      <c r="F69" s="140"/>
    </row>
  </sheetData>
  <mergeCells count="6">
    <mergeCell ref="A1:K1"/>
    <mergeCell ref="A3:K3"/>
    <mergeCell ref="A4:K4"/>
    <mergeCell ref="A6:K6"/>
    <mergeCell ref="E9:F9"/>
    <mergeCell ref="H9:I9"/>
  </mergeCells>
  <pageMargins left="1" right="1" top="1.5" bottom="1.0890151515151516" header="0.5" footer="0.5"/>
  <pageSetup scale="45" orientation="landscape" r:id="rId1"/>
  <headerFooter scaleWithDoc="0">
    <oddHeader xml:space="preserve">&amp;R&amp;"Times New Roman,Bold"&amp;12 Case No. 2020-00350
Attachment 3 to Response to AG-KIUC-1 Question No. 188
Page &amp;P of &amp;N
Seelye
</oddHeader>
    <oddFooter>&amp;R&amp;"Times New Roman,Bold"&amp;12Kroger Response to Commission Staff's First Request for Information to the Kroger Co.
Attachment 1(d)_LGE Example Aggregate Demand TODS Billing Comparison
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A685D-1915-4053-AEDC-9964D99AEF18}">
  <sheetPr>
    <pageSetUpPr fitToPage="1"/>
  </sheetPr>
  <dimension ref="A1:L43"/>
  <sheetViews>
    <sheetView view="pageLayout" zoomScaleNormal="100" workbookViewId="0">
      <selection activeCell="H4" sqref="H4:I4"/>
    </sheetView>
  </sheetViews>
  <sheetFormatPr defaultRowHeight="15" x14ac:dyDescent="0.25"/>
  <cols>
    <col min="2" max="2" width="56.42578125" customWidth="1"/>
    <col min="3" max="3" width="16.5703125" customWidth="1"/>
    <col min="4" max="4" width="14.42578125" customWidth="1"/>
    <col min="5" max="5" width="17.7109375" customWidth="1"/>
    <col min="6" max="6" width="14.85546875" customWidth="1"/>
    <col min="7" max="7" width="19.5703125" bestFit="1" customWidth="1"/>
    <col min="8" max="9" width="19.5703125" customWidth="1"/>
    <col min="10" max="10" width="3.7109375" customWidth="1"/>
    <col min="11" max="11" width="11.7109375" bestFit="1" customWidth="1"/>
    <col min="12" max="12" width="19.85546875" bestFit="1" customWidth="1"/>
  </cols>
  <sheetData>
    <row r="1" spans="1:12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0</v>
      </c>
    </row>
    <row r="2" spans="1:12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3"/>
      <c r="L2" s="4" t="s">
        <v>1</v>
      </c>
    </row>
    <row r="3" spans="1:12" x14ac:dyDescent="0.25">
      <c r="A3" s="5" t="s">
        <v>47</v>
      </c>
      <c r="B3" s="2"/>
      <c r="C3" s="2"/>
      <c r="D3" s="2"/>
      <c r="E3" s="2"/>
      <c r="F3" s="2"/>
      <c r="G3" s="2"/>
      <c r="H3" s="2"/>
      <c r="I3" s="2"/>
      <c r="J3" s="2"/>
      <c r="K3" s="3"/>
      <c r="L3" s="6" t="s">
        <v>2</v>
      </c>
    </row>
    <row r="4" spans="1:12" x14ac:dyDescent="0.25">
      <c r="A4" s="5"/>
      <c r="B4" s="2"/>
      <c r="C4" s="2"/>
      <c r="D4" s="2"/>
      <c r="E4" s="2"/>
      <c r="F4" s="2"/>
      <c r="G4" s="2"/>
      <c r="H4" s="52"/>
      <c r="I4" s="52"/>
      <c r="J4" s="2"/>
      <c r="K4" s="3"/>
      <c r="L4" s="6"/>
    </row>
    <row r="5" spans="1:12" x14ac:dyDescent="0.25">
      <c r="A5" s="7"/>
      <c r="B5" s="53"/>
      <c r="C5" s="54"/>
      <c r="D5" s="8"/>
      <c r="E5" s="53"/>
      <c r="F5" s="55" t="s">
        <v>3</v>
      </c>
      <c r="G5" s="55"/>
      <c r="H5" s="55" t="s">
        <v>4</v>
      </c>
      <c r="I5" s="55"/>
      <c r="J5" s="56"/>
      <c r="K5" s="53"/>
      <c r="L5" s="54"/>
    </row>
    <row r="6" spans="1:12" x14ac:dyDescent="0.25">
      <c r="A6" s="9"/>
      <c r="B6" s="10"/>
      <c r="C6" s="53"/>
      <c r="D6" s="53"/>
      <c r="E6" s="53"/>
      <c r="F6" s="57" t="s">
        <v>3</v>
      </c>
      <c r="G6" s="11" t="s">
        <v>5</v>
      </c>
      <c r="H6" s="58"/>
      <c r="I6" s="12"/>
      <c r="J6" s="12"/>
      <c r="K6" s="12"/>
      <c r="L6" s="13" t="s">
        <v>5</v>
      </c>
    </row>
    <row r="7" spans="1:12" x14ac:dyDescent="0.25">
      <c r="A7" s="9"/>
      <c r="B7" s="12"/>
      <c r="C7" s="59" t="s">
        <v>6</v>
      </c>
      <c r="D7" s="14" t="s">
        <v>7</v>
      </c>
      <c r="E7" s="13" t="s">
        <v>8</v>
      </c>
      <c r="F7" s="59" t="s">
        <v>9</v>
      </c>
      <c r="G7" s="13" t="s">
        <v>10</v>
      </c>
      <c r="H7" s="59" t="s">
        <v>9</v>
      </c>
      <c r="I7" s="13" t="s">
        <v>11</v>
      </c>
      <c r="J7" s="12"/>
      <c r="K7" s="13" t="s">
        <v>12</v>
      </c>
      <c r="L7" s="13" t="s">
        <v>10</v>
      </c>
    </row>
    <row r="8" spans="1:12" x14ac:dyDescent="0.25">
      <c r="A8" s="15"/>
      <c r="B8" s="16"/>
      <c r="C8" s="17"/>
      <c r="D8" s="18" t="s">
        <v>13</v>
      </c>
      <c r="E8" s="19" t="s">
        <v>14</v>
      </c>
      <c r="F8" s="60" t="s">
        <v>15</v>
      </c>
      <c r="G8" s="19" t="s">
        <v>3</v>
      </c>
      <c r="H8" s="60" t="s">
        <v>15</v>
      </c>
      <c r="I8" s="19" t="s">
        <v>16</v>
      </c>
      <c r="J8" s="16"/>
      <c r="K8" s="19" t="s">
        <v>17</v>
      </c>
      <c r="L8" s="19" t="s">
        <v>18</v>
      </c>
    </row>
    <row r="9" spans="1:12" x14ac:dyDescent="0.25">
      <c r="A9" s="12"/>
      <c r="B9" s="12"/>
      <c r="C9" s="20"/>
      <c r="D9" s="13"/>
      <c r="E9" s="13"/>
      <c r="F9" s="21"/>
      <c r="G9" s="13"/>
      <c r="H9" s="13"/>
      <c r="I9" s="13"/>
      <c r="J9" s="22"/>
      <c r="K9" s="12"/>
      <c r="L9" s="13"/>
    </row>
    <row r="10" spans="1:12" x14ac:dyDescent="0.25">
      <c r="A10" s="61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x14ac:dyDescent="0.25">
      <c r="A11" s="23"/>
      <c r="B11" s="24" t="s">
        <v>20</v>
      </c>
      <c r="C11" s="25">
        <v>184327.44326444159</v>
      </c>
      <c r="D11" s="12"/>
      <c r="E11" s="12"/>
      <c r="F11" s="26">
        <v>6.58</v>
      </c>
      <c r="G11" s="27">
        <v>1212874.58</v>
      </c>
      <c r="H11" s="28">
        <v>6.58</v>
      </c>
      <c r="I11" s="27">
        <v>1212874.58</v>
      </c>
      <c r="J11" s="12"/>
      <c r="K11" s="29">
        <v>6.58</v>
      </c>
      <c r="L11" s="27">
        <v>1212874.58</v>
      </c>
    </row>
    <row r="12" spans="1:12" x14ac:dyDescent="0.25">
      <c r="A12" s="23"/>
      <c r="B12" s="12" t="s">
        <v>21</v>
      </c>
      <c r="C12" s="12"/>
      <c r="D12" s="12"/>
      <c r="E12" s="25">
        <v>1288178137.3084989</v>
      </c>
      <c r="F12" s="30">
        <v>2.8129999999999999E-2</v>
      </c>
      <c r="G12" s="31">
        <v>36236451</v>
      </c>
      <c r="H12" s="30">
        <v>2.8129999999999999E-2</v>
      </c>
      <c r="I12" s="31">
        <v>36236451</v>
      </c>
      <c r="J12" s="12"/>
      <c r="K12" s="32">
        <v>3.2919999999999998E-2</v>
      </c>
      <c r="L12" s="27">
        <v>42406824.280000001</v>
      </c>
    </row>
    <row r="13" spans="1:12" x14ac:dyDescent="0.25">
      <c r="A13" s="23"/>
      <c r="B13" s="12"/>
      <c r="C13" s="12"/>
      <c r="D13" s="12"/>
      <c r="E13" s="12"/>
      <c r="F13" s="33"/>
      <c r="G13" s="34"/>
      <c r="H13" s="33"/>
      <c r="I13" s="34"/>
      <c r="J13" s="12"/>
      <c r="K13" s="35"/>
      <c r="L13" s="36"/>
    </row>
    <row r="14" spans="1:12" x14ac:dyDescent="0.25">
      <c r="A14" s="53"/>
      <c r="B14" s="12" t="s">
        <v>22</v>
      </c>
      <c r="C14" s="37"/>
      <c r="D14" s="25">
        <v>4406484.1747975927</v>
      </c>
      <c r="E14" s="12"/>
      <c r="F14" s="28">
        <v>2.2999999999999998</v>
      </c>
      <c r="G14" s="31">
        <v>10134913.6</v>
      </c>
      <c r="H14" s="28">
        <v>2.2999999999999998</v>
      </c>
      <c r="I14" s="31">
        <v>10134913.6</v>
      </c>
      <c r="J14" s="12"/>
      <c r="K14" s="26">
        <v>3.76</v>
      </c>
      <c r="L14" s="27">
        <v>16568380.5</v>
      </c>
    </row>
    <row r="15" spans="1:12" x14ac:dyDescent="0.25">
      <c r="A15" s="53"/>
      <c r="B15" s="12" t="s">
        <v>23</v>
      </c>
      <c r="C15" s="37"/>
      <c r="D15" s="25">
        <v>3268347.8466120353</v>
      </c>
      <c r="E15" s="12"/>
      <c r="F15" s="28">
        <v>7.63</v>
      </c>
      <c r="G15" s="31">
        <v>24937494.07</v>
      </c>
      <c r="H15" s="28">
        <v>7.63</v>
      </c>
      <c r="I15" s="31">
        <v>24937494.07</v>
      </c>
      <c r="J15" s="12"/>
      <c r="K15" s="26">
        <v>7.62</v>
      </c>
      <c r="L15" s="27">
        <v>24904810.59</v>
      </c>
    </row>
    <row r="16" spans="1:12" x14ac:dyDescent="0.25">
      <c r="A16" s="53"/>
      <c r="B16" s="12" t="s">
        <v>24</v>
      </c>
      <c r="C16" s="37"/>
      <c r="D16" s="25">
        <v>3183735.8239008416</v>
      </c>
      <c r="E16" s="12"/>
      <c r="F16" s="28">
        <v>9.89</v>
      </c>
      <c r="G16" s="31">
        <v>31487147.300000001</v>
      </c>
      <c r="H16" s="28">
        <v>9.89</v>
      </c>
      <c r="I16" s="31">
        <v>31487147.300000001</v>
      </c>
      <c r="J16" s="12"/>
      <c r="K16" s="26">
        <v>9.89</v>
      </c>
      <c r="L16" s="27">
        <v>31487147.300000001</v>
      </c>
    </row>
    <row r="17" spans="1:12" x14ac:dyDescent="0.25">
      <c r="A17" s="53"/>
      <c r="B17" s="12" t="s">
        <v>25</v>
      </c>
      <c r="C17" s="38"/>
      <c r="D17" s="25">
        <v>19992.599999999995</v>
      </c>
      <c r="E17" s="12"/>
      <c r="F17" s="28">
        <v>1.84</v>
      </c>
      <c r="G17" s="31">
        <v>36786.379999999997</v>
      </c>
      <c r="H17" s="28">
        <v>1.84</v>
      </c>
      <c r="I17" s="31">
        <v>36786.383999999998</v>
      </c>
      <c r="J17" s="12"/>
      <c r="K17" s="26">
        <v>1.93</v>
      </c>
      <c r="L17" s="27">
        <v>38585.72</v>
      </c>
    </row>
    <row r="18" spans="1:12" ht="16.5" x14ac:dyDescent="0.35">
      <c r="A18" s="53"/>
      <c r="B18" s="24"/>
      <c r="C18" s="12"/>
      <c r="D18" s="12"/>
      <c r="E18" s="12"/>
      <c r="F18" s="12"/>
      <c r="G18" s="39"/>
      <c r="H18" s="12"/>
      <c r="I18" s="39"/>
      <c r="J18" s="12"/>
      <c r="K18" s="12"/>
      <c r="L18" s="40"/>
    </row>
    <row r="19" spans="1:12" x14ac:dyDescent="0.25">
      <c r="A19" s="53"/>
      <c r="B19" s="12" t="s">
        <v>26</v>
      </c>
      <c r="C19" s="12"/>
      <c r="D19" s="12"/>
      <c r="E19" s="25">
        <v>-46128.432111807822</v>
      </c>
      <c r="F19" s="30">
        <v>2.8129999999999999E-2</v>
      </c>
      <c r="G19" s="31">
        <v>-1297.5927953051539</v>
      </c>
      <c r="H19" s="30">
        <v>2.8129999999999999E-2</v>
      </c>
      <c r="I19" s="31">
        <v>-1297.5927953051539</v>
      </c>
      <c r="J19" s="12"/>
      <c r="K19" s="32">
        <v>3.2919999999999998E-2</v>
      </c>
      <c r="L19" s="27">
        <v>-1518.5479851207135</v>
      </c>
    </row>
    <row r="20" spans="1:12" x14ac:dyDescent="0.25">
      <c r="A20" s="53"/>
      <c r="B20" s="12" t="s">
        <v>27</v>
      </c>
      <c r="C20" s="12"/>
      <c r="D20" s="12"/>
      <c r="E20" s="25">
        <v>0</v>
      </c>
      <c r="F20" s="30">
        <v>2.1729999999999999E-2</v>
      </c>
      <c r="G20" s="31">
        <v>0</v>
      </c>
      <c r="H20" s="30">
        <v>2.1729999999999999E-2</v>
      </c>
      <c r="I20" s="31">
        <v>0</v>
      </c>
      <c r="J20" s="12"/>
      <c r="K20" s="30">
        <v>2.1729999999999999E-2</v>
      </c>
      <c r="L20" s="27">
        <v>0</v>
      </c>
    </row>
    <row r="21" spans="1:12" x14ac:dyDescent="0.25">
      <c r="A21" s="53"/>
      <c r="B21" s="24" t="s">
        <v>28</v>
      </c>
      <c r="C21" s="12"/>
      <c r="D21" s="12"/>
      <c r="E21" s="12"/>
      <c r="F21" s="12"/>
      <c r="G21" s="31">
        <v>0</v>
      </c>
      <c r="H21" s="12"/>
      <c r="I21" s="31">
        <v>0</v>
      </c>
      <c r="J21" s="12"/>
      <c r="K21" s="12"/>
      <c r="L21" s="3">
        <v>0</v>
      </c>
    </row>
    <row r="22" spans="1:12" x14ac:dyDescent="0.25">
      <c r="A22" s="53"/>
      <c r="B22" s="24" t="s">
        <v>29</v>
      </c>
      <c r="C22" s="12"/>
      <c r="D22" s="12"/>
      <c r="E22" s="12"/>
      <c r="F22" s="12"/>
      <c r="G22" s="31">
        <v>0</v>
      </c>
      <c r="H22" s="12"/>
      <c r="I22" s="31">
        <v>0</v>
      </c>
      <c r="J22" s="12"/>
      <c r="K22" s="12"/>
      <c r="L22" s="3">
        <v>0</v>
      </c>
    </row>
    <row r="23" spans="1:12" x14ac:dyDescent="0.25">
      <c r="A23" s="53"/>
      <c r="B23" s="24" t="s">
        <v>30</v>
      </c>
      <c r="C23" s="12"/>
      <c r="D23" s="12"/>
      <c r="E23" s="12"/>
      <c r="F23" s="12"/>
      <c r="G23" s="31">
        <v>0</v>
      </c>
      <c r="H23" s="12"/>
      <c r="I23" s="31">
        <v>0</v>
      </c>
      <c r="J23" s="12"/>
      <c r="K23" s="12"/>
      <c r="L23" s="3">
        <v>0</v>
      </c>
    </row>
    <row r="24" spans="1:12" ht="16.5" x14ac:dyDescent="0.35">
      <c r="A24" s="53"/>
      <c r="B24" s="24"/>
      <c r="C24" s="12"/>
      <c r="D24" s="12"/>
      <c r="E24" s="12"/>
      <c r="F24" s="12"/>
      <c r="G24" s="39"/>
      <c r="H24" s="12"/>
      <c r="I24" s="39"/>
      <c r="J24" s="12"/>
      <c r="K24" s="12"/>
      <c r="L24" s="40"/>
    </row>
    <row r="25" spans="1:12" x14ac:dyDescent="0.25">
      <c r="A25" s="23"/>
      <c r="B25" s="41" t="s">
        <v>31</v>
      </c>
      <c r="C25" s="12"/>
      <c r="D25" s="12"/>
      <c r="E25" s="12"/>
      <c r="F25" s="12"/>
      <c r="G25" s="42">
        <v>104044369.33720468</v>
      </c>
      <c r="H25" s="12"/>
      <c r="I25" s="42">
        <v>104044369.34120469</v>
      </c>
      <c r="J25" s="12"/>
      <c r="K25" s="12"/>
      <c r="L25" s="43">
        <v>116617104.42201488</v>
      </c>
    </row>
    <row r="26" spans="1:12" ht="16.5" x14ac:dyDescent="0.35">
      <c r="A26" s="23"/>
      <c r="B26" s="12" t="s">
        <v>32</v>
      </c>
      <c r="C26" s="12"/>
      <c r="D26" s="12"/>
      <c r="E26" s="12"/>
      <c r="F26" s="12"/>
      <c r="G26" s="44">
        <v>1</v>
      </c>
      <c r="H26" s="12"/>
      <c r="I26" s="44">
        <v>1</v>
      </c>
      <c r="J26" s="12"/>
      <c r="K26" s="12"/>
      <c r="L26" s="44">
        <v>1</v>
      </c>
    </row>
    <row r="27" spans="1:12" x14ac:dyDescent="0.25">
      <c r="A27" s="23"/>
      <c r="B27" s="41" t="s">
        <v>33</v>
      </c>
      <c r="C27" s="12"/>
      <c r="D27" s="12"/>
      <c r="E27" s="12"/>
      <c r="F27" s="12"/>
      <c r="G27" s="42">
        <v>104044369.34</v>
      </c>
      <c r="H27" s="12"/>
      <c r="I27" s="42">
        <v>104044369.34</v>
      </c>
      <c r="J27" s="12"/>
      <c r="K27" s="12"/>
      <c r="L27" s="43">
        <v>116617104.42</v>
      </c>
    </row>
    <row r="28" spans="1:12" x14ac:dyDescent="0.25">
      <c r="A28" s="23"/>
      <c r="B28" s="12"/>
      <c r="C28" s="12"/>
      <c r="D28" s="12"/>
      <c r="E28" s="6"/>
      <c r="F28" s="12"/>
      <c r="G28" s="45"/>
      <c r="H28" s="45"/>
      <c r="I28" s="45"/>
      <c r="J28" s="12"/>
      <c r="K28" s="12"/>
      <c r="L28" s="12"/>
    </row>
    <row r="29" spans="1:12" x14ac:dyDescent="0.25">
      <c r="A29" s="62"/>
      <c r="B29" s="12" t="s">
        <v>34</v>
      </c>
      <c r="C29" s="12"/>
      <c r="D29" s="12"/>
      <c r="E29" s="12"/>
      <c r="F29" s="12"/>
      <c r="G29" s="31">
        <v>-12452521.48</v>
      </c>
      <c r="H29" s="31"/>
      <c r="I29" s="31">
        <v>-2774395.9699999997</v>
      </c>
      <c r="J29" s="12"/>
      <c r="K29" s="12"/>
      <c r="L29" s="27">
        <v>-2774395.9699999997</v>
      </c>
    </row>
    <row r="30" spans="1:12" x14ac:dyDescent="0.25">
      <c r="A30" s="62"/>
      <c r="B30" s="12" t="s">
        <v>35</v>
      </c>
      <c r="C30" s="12"/>
      <c r="D30" s="12"/>
      <c r="E30" s="12"/>
      <c r="F30" s="12"/>
      <c r="G30" s="27"/>
      <c r="H30" s="27"/>
      <c r="I30" s="27">
        <v>356189.85999999987</v>
      </c>
      <c r="J30" s="12"/>
      <c r="K30" s="12"/>
      <c r="L30" s="27"/>
    </row>
    <row r="31" spans="1:12" x14ac:dyDescent="0.25">
      <c r="A31" s="62"/>
      <c r="B31" s="24"/>
      <c r="C31" s="12"/>
      <c r="D31" s="12"/>
      <c r="E31" s="12"/>
      <c r="F31" s="12"/>
      <c r="G31" s="46"/>
      <c r="H31" s="46"/>
      <c r="I31" s="46"/>
      <c r="J31" s="12"/>
      <c r="K31" s="12"/>
      <c r="L31" s="12"/>
    </row>
    <row r="32" spans="1:12" ht="16.5" x14ac:dyDescent="0.35">
      <c r="A32" s="53"/>
      <c r="B32" s="47" t="s">
        <v>36</v>
      </c>
      <c r="C32" s="12"/>
      <c r="D32" s="12"/>
      <c r="E32" s="12"/>
      <c r="F32" s="48"/>
      <c r="G32" s="49">
        <v>91591847.859999999</v>
      </c>
      <c r="H32" s="49"/>
      <c r="I32" s="49">
        <v>101626163.23</v>
      </c>
      <c r="J32" s="12"/>
      <c r="K32" s="12"/>
      <c r="L32" s="49">
        <v>113842708.45</v>
      </c>
    </row>
    <row r="33" spans="1:12" x14ac:dyDescent="0.25">
      <c r="A33" s="23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x14ac:dyDescent="0.25">
      <c r="A34" s="53"/>
      <c r="B34" s="24" t="s">
        <v>37</v>
      </c>
      <c r="C34" s="12"/>
      <c r="D34" s="12"/>
      <c r="E34" s="12"/>
      <c r="F34" s="12"/>
      <c r="G34" s="27">
        <v>-1884693.06</v>
      </c>
      <c r="H34" s="27"/>
      <c r="I34" s="27">
        <v>-1884693.06</v>
      </c>
      <c r="J34" s="12"/>
      <c r="K34" s="12"/>
      <c r="L34" s="27">
        <v>-1884693.06</v>
      </c>
    </row>
    <row r="35" spans="1:12" x14ac:dyDescent="0.25">
      <c r="A35" s="53"/>
      <c r="B35" s="24" t="s">
        <v>38</v>
      </c>
      <c r="C35" s="12"/>
      <c r="D35" s="12"/>
      <c r="E35" s="12"/>
      <c r="F35" s="12"/>
      <c r="G35" s="27">
        <v>233694.07999999999</v>
      </c>
      <c r="H35" s="27"/>
      <c r="I35" s="27">
        <v>233694.07999999999</v>
      </c>
      <c r="J35" s="12"/>
      <c r="K35" s="12"/>
      <c r="L35" s="27">
        <v>233694.07999999999</v>
      </c>
    </row>
    <row r="36" spans="1:12" x14ac:dyDescent="0.25">
      <c r="A36" s="53"/>
      <c r="B36" s="24" t="s">
        <v>39</v>
      </c>
      <c r="C36" s="12"/>
      <c r="D36" s="12"/>
      <c r="E36" s="12"/>
      <c r="F36" s="12"/>
      <c r="G36" s="27">
        <v>1093122.42</v>
      </c>
      <c r="H36" s="27"/>
      <c r="I36" s="27">
        <v>736932.56</v>
      </c>
      <c r="J36" s="12"/>
      <c r="K36" s="12"/>
      <c r="L36" s="27">
        <v>736932.56</v>
      </c>
    </row>
    <row r="37" spans="1:12" x14ac:dyDescent="0.25">
      <c r="A37" s="53"/>
      <c r="B37" s="24" t="s">
        <v>40</v>
      </c>
      <c r="C37" s="12"/>
      <c r="D37" s="12"/>
      <c r="E37" s="12"/>
      <c r="F37" s="12"/>
      <c r="G37" s="27">
        <v>-98449.39</v>
      </c>
      <c r="H37" s="27"/>
      <c r="I37" s="27">
        <v>-98449.39</v>
      </c>
      <c r="J37" s="12"/>
      <c r="K37" s="12"/>
      <c r="L37" s="27">
        <v>-98449.39</v>
      </c>
    </row>
    <row r="38" spans="1:12" x14ac:dyDescent="0.25">
      <c r="A38" s="23"/>
      <c r="B38" s="12" t="s">
        <v>41</v>
      </c>
      <c r="C38" s="12"/>
      <c r="D38" s="12"/>
      <c r="E38" s="12"/>
      <c r="F38" s="12"/>
      <c r="G38" s="27">
        <v>12452521.48</v>
      </c>
      <c r="H38" s="27"/>
      <c r="I38" s="27">
        <v>2774395.9699999997</v>
      </c>
      <c r="J38" s="12"/>
      <c r="K38" s="12"/>
      <c r="L38" s="27">
        <v>2774395.9699999997</v>
      </c>
    </row>
    <row r="39" spans="1:12" x14ac:dyDescent="0.25">
      <c r="A39" s="23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6.5" x14ac:dyDescent="0.35">
      <c r="A40" s="23"/>
      <c r="B40" s="47" t="s">
        <v>42</v>
      </c>
      <c r="C40" s="12"/>
      <c r="D40" s="12"/>
      <c r="E40" s="12"/>
      <c r="F40" s="12"/>
      <c r="G40" s="49">
        <v>103388043.39</v>
      </c>
      <c r="H40" s="49"/>
      <c r="I40" s="49">
        <v>103388043.39</v>
      </c>
      <c r="J40" s="12"/>
      <c r="K40" s="12"/>
      <c r="L40" s="49">
        <v>115604588.61</v>
      </c>
    </row>
    <row r="41" spans="1:12" x14ac:dyDescent="0.25">
      <c r="A41" s="23"/>
      <c r="B41" s="12"/>
      <c r="C41" s="12"/>
      <c r="D41" s="12"/>
      <c r="E41" s="12"/>
      <c r="F41" s="12"/>
      <c r="G41" s="50"/>
      <c r="H41" s="50"/>
      <c r="I41" s="50"/>
      <c r="J41" s="12"/>
      <c r="K41" s="12"/>
      <c r="L41" s="12"/>
    </row>
    <row r="42" spans="1:12" x14ac:dyDescent="0.25">
      <c r="A42" s="23"/>
      <c r="B42" s="41" t="s">
        <v>43</v>
      </c>
      <c r="C42" s="12"/>
      <c r="D42" s="12"/>
      <c r="E42" s="12"/>
      <c r="F42" s="12"/>
      <c r="G42" s="12"/>
      <c r="H42" s="12"/>
      <c r="I42" s="12"/>
      <c r="J42" s="12"/>
      <c r="K42" s="12"/>
      <c r="L42" s="43">
        <v>12216545.219999999</v>
      </c>
    </row>
    <row r="43" spans="1:12" x14ac:dyDescent="0.25">
      <c r="A43" s="23"/>
      <c r="B43" s="12" t="s">
        <v>44</v>
      </c>
      <c r="C43" s="12"/>
      <c r="D43" s="7"/>
      <c r="E43" s="12"/>
      <c r="F43" s="12"/>
      <c r="G43" s="12"/>
      <c r="H43" s="12"/>
      <c r="I43" s="12"/>
      <c r="J43" s="12"/>
      <c r="K43" s="12"/>
      <c r="L43" s="51">
        <v>0.11816206999794736</v>
      </c>
    </row>
  </sheetData>
  <mergeCells count="3">
    <mergeCell ref="H4:I4"/>
    <mergeCell ref="F5:G5"/>
    <mergeCell ref="H5:I5"/>
  </mergeCells>
  <pageMargins left="0.7" right="0.7" top="0.96187500000000004" bottom="0.75" header="0.3" footer="0.3"/>
  <pageSetup scale="54" orientation="landscape" r:id="rId1"/>
  <headerFooter scaleWithDoc="0">
    <oddHeader>&amp;R&amp;"Times New Roman,Bold"&amp;12Kroger Response to Commission Staff's First Request for Information to the Kroger Co.
Attachment 1(d)_LGE Example Aggregate Demand TODS Billing Comparison
Page 4 of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TODS Bill Comparison</vt:lpstr>
      <vt:lpstr>TODS Rates Agg Dem Ex.</vt:lpstr>
      <vt:lpstr>TODS Unit Costs (As-Filed)</vt:lpstr>
      <vt:lpstr>TODS Rates (As-Filed)</vt:lpstr>
      <vt:lpstr>'TODS Unit Costs (As-Filed)'!Print_Area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jbieber</dc:creator>
  <cp:lastModifiedBy>jbieber</cp:lastModifiedBy>
  <cp:lastPrinted>2021-03-31T02:30:23Z</cp:lastPrinted>
  <dcterms:created xsi:type="dcterms:W3CDTF">2021-03-30T22:05:51Z</dcterms:created>
  <dcterms:modified xsi:type="dcterms:W3CDTF">2021-03-31T02:39:05Z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{6FD64B5C-9D19-440A-BFCA-86411F2F2030}</vt:lpwstr>
  </property>
</Properties>
</file>