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W:\Regulatory\KPSC Rate Cases\RateCase2020\04_HearingPrep\"/>
    </mc:Choice>
  </mc:AlternateContent>
  <xr:revisionPtr revIDLastSave="0" documentId="13_ncr:1_{31619C3C-F102-4990-AFEB-8B276423E196}" xr6:coauthVersionLast="46" xr6:coauthVersionMax="46" xr10:uidLastSave="{00000000-0000-0000-0000-000000000000}"/>
  <bookViews>
    <workbookView xWindow="38290" yWindow="-110" windowWidth="38620" windowHeight="21220" tabRatio="770" xr2:uid="{00000000-000D-0000-FFFF-FFFF00000000}"/>
  </bookViews>
  <sheets>
    <sheet name="NGCCCost" sheetId="31" r:id="rId1"/>
    <sheet name="NREL" sheetId="41" r:id="rId2"/>
    <sheet name="RRProfile" sheetId="25" r:id="rId3"/>
    <sheet name="ECCExample" sheetId="11" r:id="rId4"/>
  </sheets>
  <externalReferences>
    <externalReference r:id="rId5"/>
    <externalReference r:id="rId6"/>
    <externalReference r:id="rId7"/>
  </externalReferences>
  <definedNames>
    <definedName name="_xlnm._FilterDatabase" localSheetId="2" hidden="1">RRProfile!#REF!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Recover">[1]Macro1!$A$131</definedName>
    <definedName name="StartYear">'[2]General Inputs'!$E$17</definedName>
    <definedName name="TableName">"Dummy"</definedName>
    <definedName name="TotalAMSElectricMeters">'[2]System Attributes'!$E$25</definedName>
    <definedName name="TotalAMSMeters">'[2]System Attributes'!$E$31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31" l="1"/>
  <c r="C7" i="31"/>
  <c r="E36" i="41"/>
  <c r="D36" i="41"/>
  <c r="F36" i="41" s="1"/>
  <c r="E35" i="41"/>
  <c r="G35" i="41" s="1"/>
  <c r="D35" i="41"/>
  <c r="E34" i="41"/>
  <c r="D34" i="41"/>
  <c r="F34" i="41" s="1"/>
  <c r="E33" i="41"/>
  <c r="G33" i="41" s="1"/>
  <c r="D33" i="41"/>
  <c r="F33" i="41" s="1"/>
  <c r="E32" i="41"/>
  <c r="D32" i="41"/>
  <c r="E31" i="41"/>
  <c r="G31" i="41" s="1"/>
  <c r="D31" i="41"/>
  <c r="E30" i="41"/>
  <c r="D30" i="41"/>
  <c r="F30" i="41" s="1"/>
  <c r="E29" i="41"/>
  <c r="G29" i="41" s="1"/>
  <c r="D29" i="41"/>
  <c r="F29" i="41" s="1"/>
  <c r="E28" i="41"/>
  <c r="D28" i="41"/>
  <c r="E27" i="41"/>
  <c r="G27" i="41" s="1"/>
  <c r="D27" i="41"/>
  <c r="E26" i="41"/>
  <c r="D26" i="41"/>
  <c r="F26" i="41" s="1"/>
  <c r="E25" i="41"/>
  <c r="G25" i="41" s="1"/>
  <c r="D25" i="41"/>
  <c r="F25" i="41" s="1"/>
  <c r="E24" i="41"/>
  <c r="D24" i="41"/>
  <c r="E23" i="41"/>
  <c r="G23" i="41" s="1"/>
  <c r="D23" i="41"/>
  <c r="E22" i="41"/>
  <c r="D22" i="41"/>
  <c r="F22" i="41" s="1"/>
  <c r="E21" i="41"/>
  <c r="G21" i="41" s="1"/>
  <c r="D21" i="41"/>
  <c r="F21" i="41" s="1"/>
  <c r="E20" i="41"/>
  <c r="D20" i="41"/>
  <c r="F20" i="41" s="1"/>
  <c r="E19" i="41"/>
  <c r="G19" i="41" s="1"/>
  <c r="D19" i="41"/>
  <c r="E18" i="41"/>
  <c r="D18" i="41"/>
  <c r="F18" i="41" s="1"/>
  <c r="E17" i="41"/>
  <c r="G17" i="41" s="1"/>
  <c r="D17" i="41"/>
  <c r="F17" i="41" s="1"/>
  <c r="E16" i="41"/>
  <c r="D16" i="41"/>
  <c r="F16" i="41" s="1"/>
  <c r="E15" i="41"/>
  <c r="G15" i="41" s="1"/>
  <c r="D15" i="41"/>
  <c r="E14" i="41"/>
  <c r="D14" i="41"/>
  <c r="E13" i="41"/>
  <c r="D13" i="41"/>
  <c r="E12" i="41"/>
  <c r="D12" i="41"/>
  <c r="E11" i="41"/>
  <c r="D11" i="41"/>
  <c r="E10" i="41"/>
  <c r="D10" i="41"/>
  <c r="E9" i="41"/>
  <c r="D9" i="41"/>
  <c r="E8" i="41"/>
  <c r="D8" i="41"/>
  <c r="E7" i="41"/>
  <c r="D7" i="41"/>
  <c r="E6" i="41"/>
  <c r="D6" i="41"/>
  <c r="E5" i="41"/>
  <c r="D5" i="41"/>
  <c r="E4" i="41"/>
  <c r="D4" i="41"/>
  <c r="G18" i="41" l="1"/>
  <c r="G22" i="41"/>
  <c r="G26" i="41"/>
  <c r="G30" i="41"/>
  <c r="G34" i="41"/>
  <c r="F15" i="41"/>
  <c r="F19" i="41"/>
  <c r="F23" i="41"/>
  <c r="F27" i="41"/>
  <c r="F31" i="41"/>
  <c r="F35" i="41"/>
  <c r="F24" i="41"/>
  <c r="F28" i="41"/>
  <c r="F32" i="41"/>
  <c r="G16" i="41"/>
  <c r="G20" i="41"/>
  <c r="G24" i="41"/>
  <c r="G28" i="41"/>
  <c r="G32" i="41"/>
  <c r="G36" i="41"/>
  <c r="D15" i="31"/>
  <c r="C18" i="31"/>
  <c r="C17" i="31"/>
  <c r="C16" i="31"/>
  <c r="C19" i="31" l="1"/>
  <c r="E15" i="31"/>
  <c r="D18" i="31"/>
  <c r="C20" i="31" l="1"/>
  <c r="C21" i="31"/>
  <c r="F15" i="31"/>
  <c r="E18" i="31"/>
  <c r="G15" i="31" l="1"/>
  <c r="F18" i="31"/>
  <c r="H15" i="31" l="1"/>
  <c r="G18" i="31"/>
  <c r="I15" i="31" l="1"/>
  <c r="H18" i="31"/>
  <c r="J15" i="31" l="1"/>
  <c r="I18" i="31"/>
  <c r="K15" i="31" l="1"/>
  <c r="J18" i="31"/>
  <c r="L15" i="31" l="1"/>
  <c r="K18" i="31"/>
  <c r="M15" i="31" l="1"/>
  <c r="L18" i="31"/>
  <c r="N15" i="31" l="1"/>
  <c r="M18" i="31"/>
  <c r="O15" i="31" l="1"/>
  <c r="N18" i="31"/>
  <c r="P15" i="31" l="1"/>
  <c r="O18" i="31"/>
  <c r="Q15" i="31" l="1"/>
  <c r="P18" i="31"/>
  <c r="R15" i="31" l="1"/>
  <c r="Q18" i="31"/>
  <c r="S15" i="31" l="1"/>
  <c r="R18" i="31"/>
  <c r="T15" i="31" l="1"/>
  <c r="S18" i="31"/>
  <c r="U15" i="31" l="1"/>
  <c r="T18" i="31"/>
  <c r="V15" i="31" l="1"/>
  <c r="U18" i="31"/>
  <c r="W15" i="31" l="1"/>
  <c r="V18" i="31"/>
  <c r="X15" i="31" l="1"/>
  <c r="W18" i="31"/>
  <c r="Y15" i="31" l="1"/>
  <c r="X18" i="31"/>
  <c r="Z15" i="31" l="1"/>
  <c r="Y18" i="31"/>
  <c r="AA15" i="31" l="1"/>
  <c r="Z18" i="31"/>
  <c r="AB15" i="31" l="1"/>
  <c r="AA18" i="31"/>
  <c r="AC15" i="31" l="1"/>
  <c r="AB18" i="31"/>
  <c r="AD15" i="31" l="1"/>
  <c r="AC18" i="31"/>
  <c r="AE15" i="31" l="1"/>
  <c r="AD18" i="31"/>
  <c r="AF15" i="31" l="1"/>
  <c r="AE18" i="31"/>
  <c r="AG15" i="31" l="1"/>
  <c r="AF18" i="31"/>
  <c r="AH15" i="31" l="1"/>
  <c r="AG18" i="31"/>
  <c r="AI15" i="31" l="1"/>
  <c r="AH18" i="31"/>
  <c r="AJ15" i="31" l="1"/>
  <c r="AI18" i="31"/>
  <c r="AK15" i="31" l="1"/>
  <c r="AJ18" i="31"/>
  <c r="AL15" i="31" l="1"/>
  <c r="AK18" i="31"/>
  <c r="AM15" i="31" l="1"/>
  <c r="AL18" i="31"/>
  <c r="AN15" i="31" l="1"/>
  <c r="AM18" i="31"/>
  <c r="AO15" i="31" l="1"/>
  <c r="AN18" i="31"/>
  <c r="AP15" i="31" l="1"/>
  <c r="AO18" i="31"/>
  <c r="AQ15" i="31" l="1"/>
  <c r="AP18" i="31"/>
  <c r="AR15" i="31" l="1"/>
  <c r="AQ18" i="31"/>
  <c r="AS15" i="31" l="1"/>
  <c r="AR17" i="31"/>
  <c r="AR18" i="31"/>
  <c r="AR16" i="31"/>
  <c r="AT15" i="31" l="1"/>
  <c r="AS18" i="31"/>
  <c r="AS17" i="31"/>
  <c r="AS16" i="31"/>
  <c r="AR19" i="31"/>
  <c r="AR20" i="31" l="1"/>
  <c r="AR21" i="31"/>
  <c r="AS19" i="31"/>
  <c r="AU15" i="31"/>
  <c r="AT18" i="31"/>
  <c r="AT16" i="31"/>
  <c r="AT17" i="31"/>
  <c r="AS20" i="31" l="1"/>
  <c r="AS21" i="31"/>
  <c r="AT19" i="31"/>
  <c r="AV15" i="31"/>
  <c r="AU18" i="31"/>
  <c r="AU17" i="31"/>
  <c r="AU16" i="31"/>
  <c r="AT20" i="31" l="1"/>
  <c r="AT21" i="31"/>
  <c r="AU19" i="31"/>
  <c r="AW15" i="31"/>
  <c r="AV18" i="31"/>
  <c r="AV17" i="31"/>
  <c r="AV16" i="31"/>
  <c r="AU20" i="31" l="1"/>
  <c r="AU21" i="31"/>
  <c r="AV19" i="31"/>
  <c r="AX15" i="31"/>
  <c r="AW16" i="31"/>
  <c r="AW18" i="31"/>
  <c r="AW17" i="31"/>
  <c r="AV20" i="31" l="1"/>
  <c r="AV21" i="31"/>
  <c r="AW19" i="31"/>
  <c r="AY15" i="31"/>
  <c r="AX16" i="31"/>
  <c r="AX18" i="31"/>
  <c r="AX17" i="31"/>
  <c r="AW20" i="31" l="1"/>
  <c r="AW21" i="31"/>
  <c r="AX19" i="31"/>
  <c r="AZ15" i="31"/>
  <c r="AY17" i="31"/>
  <c r="AY18" i="31"/>
  <c r="AY16" i="31"/>
  <c r="AX20" i="31" l="1"/>
  <c r="AX21" i="31"/>
  <c r="AY19" i="31"/>
  <c r="AZ17" i="31"/>
  <c r="AZ16" i="31"/>
  <c r="AZ18" i="31"/>
  <c r="AY20" i="31" l="1"/>
  <c r="AY21" i="31"/>
  <c r="AZ19" i="31"/>
  <c r="AZ20" i="31" l="1"/>
  <c r="AZ21" i="31"/>
  <c r="C6" i="31"/>
  <c r="C5" i="31" l="1"/>
  <c r="E6" i="31" l="1"/>
  <c r="AI17" i="31" s="1"/>
  <c r="E5" i="31"/>
  <c r="C10" i="31" s="1"/>
  <c r="AJ17" i="31" l="1"/>
  <c r="M17" i="31"/>
  <c r="AN17" i="31"/>
  <c r="AP17" i="31"/>
  <c r="AQ17" i="31"/>
  <c r="AO17" i="31"/>
  <c r="AM16" i="31"/>
  <c r="AN16" i="31"/>
  <c r="AN19" i="31" s="1"/>
  <c r="AO16" i="31"/>
  <c r="AP16" i="31"/>
  <c r="AP19" i="31" s="1"/>
  <c r="AQ16" i="31"/>
  <c r="Q17" i="31"/>
  <c r="K17" i="31"/>
  <c r="AB17" i="31"/>
  <c r="AA17" i="31"/>
  <c r="S17" i="31"/>
  <c r="AH17" i="31"/>
  <c r="Z17" i="31"/>
  <c r="Y17" i="31"/>
  <c r="AM17" i="31"/>
  <c r="AL17" i="31"/>
  <c r="AK17" i="31"/>
  <c r="O17" i="31"/>
  <c r="D17" i="31"/>
  <c r="E17" i="31"/>
  <c r="F17" i="31"/>
  <c r="G17" i="31"/>
  <c r="H17" i="31"/>
  <c r="I17" i="31"/>
  <c r="AF17" i="31"/>
  <c r="AD17" i="31"/>
  <c r="I16" i="31"/>
  <c r="X17" i="31"/>
  <c r="V17" i="31"/>
  <c r="H16" i="31"/>
  <c r="P17" i="31"/>
  <c r="N17" i="31"/>
  <c r="G16" i="31"/>
  <c r="T17" i="31"/>
  <c r="R17" i="31"/>
  <c r="F16" i="31"/>
  <c r="F19" i="31" s="1"/>
  <c r="L17" i="31"/>
  <c r="J17" i="31"/>
  <c r="AE17" i="31"/>
  <c r="AC17" i="31"/>
  <c r="E16" i="31"/>
  <c r="AG17" i="31"/>
  <c r="W17" i="31"/>
  <c r="U17" i="31"/>
  <c r="D16" i="31"/>
  <c r="AD16" i="31"/>
  <c r="AK16" i="31"/>
  <c r="AJ16" i="31"/>
  <c r="AJ19" i="31" s="1"/>
  <c r="AC16" i="31"/>
  <c r="AH16" i="31"/>
  <c r="Y16" i="31"/>
  <c r="AG16" i="31"/>
  <c r="AF16" i="31"/>
  <c r="Z16" i="31"/>
  <c r="Z19" i="31" s="1"/>
  <c r="R16" i="31"/>
  <c r="J16" i="31"/>
  <c r="J19" i="31" s="1"/>
  <c r="J21" i="31" s="1"/>
  <c r="U16" i="31"/>
  <c r="Q16" i="31"/>
  <c r="Q19" i="31" s="1"/>
  <c r="M16" i="31"/>
  <c r="M19" i="31" s="1"/>
  <c r="AB16" i="31"/>
  <c r="X16" i="31"/>
  <c r="T16" i="31"/>
  <c r="P16" i="31"/>
  <c r="P19" i="31" s="1"/>
  <c r="L16" i="31"/>
  <c r="L19" i="31" s="1"/>
  <c r="S16" i="31"/>
  <c r="S19" i="31" s="1"/>
  <c r="O16" i="31"/>
  <c r="O19" i="31" s="1"/>
  <c r="AI16" i="31"/>
  <c r="AI19" i="31" s="1"/>
  <c r="AE16" i="31"/>
  <c r="AA16" i="31"/>
  <c r="W16" i="31"/>
  <c r="K16" i="31"/>
  <c r="K19" i="31" s="1"/>
  <c r="AL16" i="31"/>
  <c r="AL19" i="31" s="1"/>
  <c r="V16" i="31"/>
  <c r="V19" i="31" s="1"/>
  <c r="N16" i="31"/>
  <c r="M20" i="31" l="1"/>
  <c r="M21" i="31"/>
  <c r="O20" i="31"/>
  <c r="O21" i="31"/>
  <c r="Q20" i="31"/>
  <c r="Q21" i="31"/>
  <c r="S20" i="31"/>
  <c r="S21" i="31"/>
  <c r="AJ20" i="31"/>
  <c r="AJ21" i="31"/>
  <c r="L20" i="31"/>
  <c r="L21" i="31"/>
  <c r="K20" i="31"/>
  <c r="K21" i="31"/>
  <c r="P20" i="31"/>
  <c r="P21" i="31"/>
  <c r="V20" i="31"/>
  <c r="V21" i="31"/>
  <c r="Z20" i="31"/>
  <c r="Z21" i="31"/>
  <c r="AI20" i="31"/>
  <c r="AI21" i="31"/>
  <c r="AL20" i="31"/>
  <c r="AL21" i="31"/>
  <c r="AP20" i="31"/>
  <c r="AP21" i="31"/>
  <c r="AN20" i="31"/>
  <c r="AN21" i="31"/>
  <c r="F20" i="31"/>
  <c r="F21" i="31"/>
  <c r="AK19" i="31"/>
  <c r="AQ19" i="31"/>
  <c r="N19" i="31"/>
  <c r="AO19" i="31"/>
  <c r="T19" i="31"/>
  <c r="AA19" i="31"/>
  <c r="AM19" i="31"/>
  <c r="AE19" i="31"/>
  <c r="AB19" i="31"/>
  <c r="Y19" i="31"/>
  <c r="AC19" i="31"/>
  <c r="G19" i="31"/>
  <c r="AD19" i="31"/>
  <c r="AH19" i="31"/>
  <c r="E19" i="31"/>
  <c r="U19" i="31"/>
  <c r="X19" i="31"/>
  <c r="R19" i="31"/>
  <c r="W19" i="31"/>
  <c r="D19" i="31"/>
  <c r="H19" i="31"/>
  <c r="AG19" i="31"/>
  <c r="AF19" i="31"/>
  <c r="I19" i="31"/>
  <c r="J20" i="31"/>
  <c r="Y20" i="31" l="1"/>
  <c r="Y21" i="31"/>
  <c r="AB20" i="31"/>
  <c r="AB21" i="31"/>
  <c r="AQ20" i="31"/>
  <c r="AQ21" i="31"/>
  <c r="X20" i="31"/>
  <c r="X21" i="31"/>
  <c r="E20" i="31"/>
  <c r="E21" i="31"/>
  <c r="AG20" i="31"/>
  <c r="AG21" i="31"/>
  <c r="R20" i="31"/>
  <c r="R21" i="31"/>
  <c r="AK20" i="31"/>
  <c r="AK21" i="31"/>
  <c r="I20" i="31"/>
  <c r="I21" i="31"/>
  <c r="AE20" i="31"/>
  <c r="AE21" i="31"/>
  <c r="AF20" i="31"/>
  <c r="AF21" i="31"/>
  <c r="AH20" i="31"/>
  <c r="AH21" i="31"/>
  <c r="H20" i="31"/>
  <c r="H21" i="31"/>
  <c r="AA20" i="31"/>
  <c r="AA21" i="31"/>
  <c r="AD20" i="31"/>
  <c r="AD21" i="31"/>
  <c r="AO20" i="31"/>
  <c r="AO21" i="31"/>
  <c r="U20" i="31"/>
  <c r="U21" i="31"/>
  <c r="AM20" i="31"/>
  <c r="AM21" i="31"/>
  <c r="T20" i="31"/>
  <c r="T21" i="31"/>
  <c r="D20" i="31"/>
  <c r="D21" i="31"/>
  <c r="C23" i="31" s="1"/>
  <c r="G20" i="31"/>
  <c r="G21" i="31"/>
  <c r="W20" i="31"/>
  <c r="W21" i="31"/>
  <c r="AC20" i="31"/>
  <c r="AC21" i="31"/>
  <c r="N20" i="31"/>
  <c r="N21" i="31"/>
  <c r="B7" i="11"/>
  <c r="F12" i="11" l="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11" i="11"/>
  <c r="B5" i="11"/>
  <c r="D43" i="11" l="1"/>
  <c r="D30" i="11" l="1"/>
  <c r="E47" i="11"/>
  <c r="G47" i="11" s="1"/>
  <c r="E48" i="11"/>
  <c r="G48" i="11" s="1"/>
  <c r="E50" i="11"/>
  <c r="G50" i="11" s="1"/>
  <c r="E20" i="11"/>
  <c r="G20" i="11" s="1"/>
  <c r="C41" i="11"/>
  <c r="B4" i="11"/>
  <c r="C21" i="11"/>
  <c r="E30" i="11"/>
  <c r="G30" i="11" s="1"/>
  <c r="E33" i="11"/>
  <c r="G33" i="11" s="1"/>
  <c r="E38" i="11"/>
  <c r="G38" i="11" s="1"/>
  <c r="E26" i="11"/>
  <c r="G26" i="11" s="1"/>
  <c r="E31" i="11"/>
  <c r="G31" i="11" s="1"/>
  <c r="E35" i="11"/>
  <c r="G35" i="11" s="1"/>
  <c r="E39" i="11"/>
  <c r="G39" i="11" s="1"/>
  <c r="E32" i="11"/>
  <c r="G32" i="11" s="1"/>
  <c r="E36" i="11"/>
  <c r="G36" i="11" s="1"/>
  <c r="E37" i="11"/>
  <c r="G37" i="11" s="1"/>
  <c r="E34" i="11"/>
  <c r="G34" i="11" s="1"/>
  <c r="E40" i="11"/>
  <c r="G40" i="11" s="1"/>
  <c r="E43" i="11"/>
  <c r="G43" i="11" s="1"/>
  <c r="H43" i="11" s="1"/>
  <c r="E44" i="11"/>
  <c r="G44" i="11" s="1"/>
  <c r="E14" i="11"/>
  <c r="G14" i="11" s="1"/>
  <c r="E41" i="11"/>
  <c r="G41" i="11" s="1"/>
  <c r="E25" i="11"/>
  <c r="G25" i="11" s="1"/>
  <c r="E45" i="11"/>
  <c r="G45" i="11" s="1"/>
  <c r="E46" i="11"/>
  <c r="G46" i="11" s="1"/>
  <c r="E22" i="11"/>
  <c r="G22" i="11" s="1"/>
  <c r="E42" i="11"/>
  <c r="G42" i="11" s="1"/>
  <c r="E21" i="11"/>
  <c r="G21" i="11" s="1"/>
  <c r="E27" i="11"/>
  <c r="G27" i="11" s="1"/>
  <c r="E29" i="11"/>
  <c r="G29" i="11" s="1"/>
  <c r="E13" i="11"/>
  <c r="G13" i="11" s="1"/>
  <c r="E23" i="11"/>
  <c r="G23" i="11" s="1"/>
  <c r="E28" i="11"/>
  <c r="G28" i="11" s="1"/>
  <c r="E12" i="11"/>
  <c r="G12" i="11" s="1"/>
  <c r="E24" i="11"/>
  <c r="G24" i="11" s="1"/>
  <c r="E19" i="11"/>
  <c r="G19" i="11" s="1"/>
  <c r="D41" i="11"/>
  <c r="D32" i="11"/>
  <c r="D31" i="11"/>
  <c r="D29" i="11"/>
  <c r="D28" i="11"/>
  <c r="D27" i="11"/>
  <c r="D22" i="11"/>
  <c r="E16" i="11"/>
  <c r="G16" i="11" s="1"/>
  <c r="C42" i="11"/>
  <c r="E17" i="11"/>
  <c r="G17" i="11" s="1"/>
  <c r="E49" i="11"/>
  <c r="G49" i="11" s="1"/>
  <c r="E18" i="11"/>
  <c r="G18" i="11" s="1"/>
  <c r="D12" i="11"/>
  <c r="E11" i="11"/>
  <c r="G11" i="11" s="1"/>
  <c r="D42" i="11"/>
  <c r="D40" i="11"/>
  <c r="D39" i="11"/>
  <c r="D38" i="11"/>
  <c r="D37" i="11"/>
  <c r="D36" i="11"/>
  <c r="D35" i="11"/>
  <c r="D34" i="11"/>
  <c r="D33" i="11"/>
  <c r="E15" i="11"/>
  <c r="G15" i="11" s="1"/>
  <c r="D26" i="11"/>
  <c r="D25" i="11"/>
  <c r="D24" i="11"/>
  <c r="D23" i="11"/>
  <c r="D21" i="11"/>
  <c r="D14" i="11"/>
  <c r="D20" i="11"/>
  <c r="D11" i="11"/>
  <c r="D19" i="11"/>
  <c r="D50" i="11"/>
  <c r="D18" i="11"/>
  <c r="D49" i="11"/>
  <c r="D17" i="11"/>
  <c r="D48" i="11"/>
  <c r="D16" i="11"/>
  <c r="D47" i="11"/>
  <c r="D15" i="11"/>
  <c r="D46" i="11"/>
  <c r="D45" i="11"/>
  <c r="D13" i="11"/>
  <c r="D44" i="11"/>
  <c r="C39" i="11"/>
  <c r="C37" i="11"/>
  <c r="C36" i="11"/>
  <c r="C35" i="11"/>
  <c r="C33" i="11"/>
  <c r="C32" i="11"/>
  <c r="C43" i="11"/>
  <c r="C40" i="11"/>
  <c r="C38" i="11"/>
  <c r="C34" i="11"/>
  <c r="C31" i="11"/>
  <c r="C30" i="11"/>
  <c r="C28" i="11"/>
  <c r="C22" i="11"/>
  <c r="C29" i="11"/>
  <c r="C27" i="11"/>
  <c r="C26" i="11"/>
  <c r="C25" i="11"/>
  <c r="C24" i="11"/>
  <c r="C23" i="11"/>
  <c r="C20" i="11"/>
  <c r="C19" i="11"/>
  <c r="C50" i="11"/>
  <c r="C49" i="11"/>
  <c r="C17" i="11"/>
  <c r="C48" i="11"/>
  <c r="C15" i="11"/>
  <c r="C46" i="11"/>
  <c r="C14" i="11"/>
  <c r="C45" i="11"/>
  <c r="C13" i="11"/>
  <c r="C12" i="11"/>
  <c r="C11" i="11"/>
  <c r="C18" i="11"/>
  <c r="C16" i="11"/>
  <c r="C47" i="11"/>
  <c r="C44" i="11"/>
  <c r="H39" i="11" l="1"/>
  <c r="H28" i="11"/>
  <c r="H16" i="11"/>
  <c r="H35" i="11"/>
  <c r="H13" i="11"/>
  <c r="H20" i="11"/>
  <c r="H12" i="11"/>
  <c r="D7" i="11"/>
  <c r="C7" i="11"/>
  <c r="H50" i="11"/>
  <c r="H36" i="11"/>
  <c r="H33" i="11"/>
  <c r="H48" i="11"/>
  <c r="H47" i="11"/>
  <c r="H23" i="11"/>
  <c r="H38" i="11"/>
  <c r="H40" i="11"/>
  <c r="H34" i="11"/>
  <c r="H37" i="11"/>
  <c r="H19" i="11"/>
  <c r="H17" i="11"/>
  <c r="H44" i="11"/>
  <c r="H24" i="11"/>
  <c r="H49" i="11"/>
  <c r="H29" i="11"/>
  <c r="H42" i="11"/>
  <c r="H27" i="11"/>
  <c r="H18" i="11"/>
  <c r="H11" i="11"/>
  <c r="H21" i="11"/>
  <c r="H46" i="11"/>
  <c r="H14" i="11"/>
  <c r="H41" i="11"/>
  <c r="H32" i="11"/>
  <c r="H25" i="11"/>
  <c r="H26" i="11"/>
  <c r="H30" i="11"/>
  <c r="H45" i="11"/>
  <c r="H15" i="11"/>
  <c r="H22" i="11"/>
  <c r="H31" i="11"/>
  <c r="L2" i="25" l="1"/>
  <c r="J2" i="25"/>
  <c r="I2" i="25" s="1"/>
  <c r="H2" i="25" s="1"/>
  <c r="G2" i="25" s="1"/>
  <c r="F2" i="25" s="1"/>
  <c r="E2" i="25" s="1"/>
  <c r="D2" i="25" s="1"/>
  <c r="C2" i="25" s="1"/>
  <c r="M2" i="25" l="1"/>
  <c r="N2" i="25" l="1"/>
  <c r="O2" i="25" l="1"/>
  <c r="P2" i="25" l="1"/>
  <c r="Q2" i="25" l="1"/>
  <c r="R2" i="25" l="1"/>
  <c r="S2" i="25" l="1"/>
  <c r="T2" i="25" l="1"/>
  <c r="U2" i="25" l="1"/>
  <c r="V2" i="25" l="1"/>
  <c r="W2" i="25" l="1"/>
  <c r="X2" i="25" l="1"/>
  <c r="Y2" i="25" l="1"/>
  <c r="Z2" i="25" l="1"/>
  <c r="AA2" i="25" l="1"/>
  <c r="AB2" i="25" l="1"/>
  <c r="AC2" i="25" l="1"/>
  <c r="AD2" i="25" l="1"/>
  <c r="AE2" i="25" l="1"/>
  <c r="AF2" i="25" l="1"/>
  <c r="AG2" i="25" l="1"/>
  <c r="AH2" i="25" l="1"/>
  <c r="AI2" i="25" l="1"/>
  <c r="AJ2" i="25" l="1"/>
  <c r="AK2" i="25" l="1"/>
  <c r="AL2" i="25" l="1"/>
  <c r="AM2" i="25" l="1"/>
  <c r="AN2" i="25" l="1"/>
  <c r="AO2" i="25" l="1"/>
  <c r="AP2" i="25" l="1"/>
  <c r="AQ2" i="25" l="1"/>
  <c r="AR2" i="25" l="1"/>
  <c r="AS2" i="25" l="1"/>
  <c r="AT2" i="25" l="1"/>
  <c r="AU2" i="25" l="1"/>
  <c r="AV2" i="25" l="1"/>
  <c r="AW2" i="25" l="1"/>
  <c r="AX2" i="25" l="1"/>
  <c r="AY2" i="25" l="1"/>
  <c r="AZ2" i="25" l="1"/>
  <c r="BA2" i="25" s="1"/>
  <c r="BB2" i="25" s="1"/>
  <c r="BC2" i="25" s="1"/>
  <c r="BD2" i="25" s="1"/>
  <c r="BE2" i="25" s="1"/>
  <c r="BF2" i="25" s="1"/>
  <c r="BG2" i="25" s="1"/>
  <c r="BH2" i="25" s="1"/>
</calcChain>
</file>

<file path=xl/sharedStrings.xml><?xml version="1.0" encoding="utf-8"?>
<sst xmlns="http://schemas.openxmlformats.org/spreadsheetml/2006/main" count="54" uniqueCount="50">
  <si>
    <t>Open</t>
  </si>
  <si>
    <t>WACC</t>
  </si>
  <si>
    <t>ECC%</t>
  </si>
  <si>
    <t>Total</t>
  </si>
  <si>
    <t>Book Life</t>
  </si>
  <si>
    <t>Notes</t>
  </si>
  <si>
    <t>Profile</t>
  </si>
  <si>
    <t>Dollars</t>
  </si>
  <si>
    <t>Esc</t>
  </si>
  <si>
    <t>RRProfile</t>
  </si>
  <si>
    <t>BL</t>
  </si>
  <si>
    <t>Level</t>
  </si>
  <si>
    <t>Capital Escalation</t>
  </si>
  <si>
    <t>FCR</t>
  </si>
  <si>
    <t>YR1 ECC</t>
  </si>
  <si>
    <t>Note: Overnight profiles must begin with "ON_" and be listed first.</t>
  </si>
  <si>
    <t>NPV*YR1 ECC</t>
  </si>
  <si>
    <t>A</t>
  </si>
  <si>
    <t>B</t>
  </si>
  <si>
    <t>C</t>
  </si>
  <si>
    <t>D</t>
  </si>
  <si>
    <t>E</t>
  </si>
  <si>
    <t>D*E</t>
  </si>
  <si>
    <t>NPV (K Factor)</t>
  </si>
  <si>
    <t>Inflation</t>
  </si>
  <si>
    <t>Year</t>
  </si>
  <si>
    <t>Source:  2020 NREL ATB</t>
  </si>
  <si>
    <t>$/MW-Year</t>
  </si>
  <si>
    <t>Value</t>
  </si>
  <si>
    <t>Assumed Capacity</t>
  </si>
  <si>
    <t>FGT ($/MW-Year)</t>
  </si>
  <si>
    <t>Escalation</t>
  </si>
  <si>
    <t>Year 1 ECC</t>
  </si>
  <si>
    <t>Capital ECC</t>
  </si>
  <si>
    <t>On-Going O&amp;M</t>
  </si>
  <si>
    <t>Firm Gas Transportation</t>
  </si>
  <si>
    <t>NGCC:  Overnight Capital ($/kW; Real 2018$)</t>
  </si>
  <si>
    <t>NGCC:  Fixed O&amp;M ($/kW-yr; Real 2018$)</t>
  </si>
  <si>
    <t>NGCC:  Overnight Capital ($/kW; Nominal $)</t>
  </si>
  <si>
    <t>NGCC:  Fixed O&amp;M ($/kW-yr; Nominal $)</t>
  </si>
  <si>
    <t>NGCC Capital Esc.</t>
  </si>
  <si>
    <t>NGCC O&amp;M Esc.</t>
  </si>
  <si>
    <t>NGCC Capital ($/kW)</t>
  </si>
  <si>
    <t>NGCC O&amp;M ($/kW-Year)</t>
  </si>
  <si>
    <t>NPV NGCC RR Profile (ECC K Factor)</t>
  </si>
  <si>
    <t>NGCC Commission Year</t>
  </si>
  <si>
    <t>ON_NGCC</t>
  </si>
  <si>
    <t>Assumed Capacity Factor</t>
  </si>
  <si>
    <t>Energy</t>
  </si>
  <si>
    <t>Levelized Cost of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</si>
</sst>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&quot;$&quot;#,##0.0000_);[Red]\(&quot;$&quot;#,##0.0000\)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3" fontId="0" fillId="0" borderId="0" xfId="0" applyNumberFormat="1"/>
    <xf numFmtId="3" fontId="2" fillId="0" borderId="0" xfId="0" applyNumberFormat="1" applyFont="1"/>
    <xf numFmtId="43" fontId="0" fillId="0" borderId="0" xfId="3" applyFont="1"/>
    <xf numFmtId="0" fontId="2" fillId="0" borderId="0" xfId="0" applyFont="1" applyAlignment="1">
      <alignment horizontal="left"/>
    </xf>
    <xf numFmtId="0" fontId="3" fillId="0" borderId="0" xfId="0" applyFont="1"/>
    <xf numFmtId="10" fontId="2" fillId="0" borderId="0" xfId="0" applyNumberFormat="1" applyFont="1"/>
    <xf numFmtId="164" fontId="2" fillId="0" borderId="0" xfId="4" applyNumberFormat="1" applyFont="1"/>
    <xf numFmtId="4" fontId="0" fillId="0" borderId="0" xfId="0" applyNumberFormat="1"/>
    <xf numFmtId="164" fontId="0" fillId="0" borderId="0" xfId="4" applyNumberFormat="1" applyFont="1"/>
    <xf numFmtId="0" fontId="1" fillId="0" borderId="0" xfId="0" applyFont="1"/>
    <xf numFmtId="1" fontId="2" fillId="0" borderId="0" xfId="0" applyNumberFormat="1" applyFont="1" applyFill="1"/>
    <xf numFmtId="10" fontId="2" fillId="0" borderId="0" xfId="0" applyNumberFormat="1" applyFont="1" applyFill="1"/>
    <xf numFmtId="9" fontId="2" fillId="0" borderId="0" xfId="4" applyFont="1" applyFill="1"/>
    <xf numFmtId="164" fontId="2" fillId="0" borderId="0" xfId="4" applyNumberFormat="1" applyFont="1" applyFill="1"/>
    <xf numFmtId="9" fontId="3" fillId="0" borderId="0" xfId="4" applyFont="1" applyFill="1"/>
    <xf numFmtId="9" fontId="2" fillId="0" borderId="0" xfId="4" applyFont="1"/>
    <xf numFmtId="165" fontId="0" fillId="0" borderId="0" xfId="0" applyNumberFormat="1"/>
    <xf numFmtId="166" fontId="0" fillId="0" borderId="0" xfId="0" applyNumberFormat="1"/>
    <xf numFmtId="8" fontId="0" fillId="0" borderId="0" xfId="0" applyNumberFormat="1"/>
    <xf numFmtId="3" fontId="6" fillId="0" borderId="0" xfId="0" applyNumberFormat="1" applyFont="1"/>
    <xf numFmtId="4" fontId="2" fillId="0" borderId="0" xfId="0" applyNumberFormat="1" applyFont="1"/>
    <xf numFmtId="10" fontId="0" fillId="0" borderId="0" xfId="4" applyNumberFormat="1" applyFont="1"/>
    <xf numFmtId="10" fontId="3" fillId="0" borderId="0" xfId="0" applyNumberFormat="1" applyFont="1" applyFill="1" applyAlignment="1">
      <alignment horizontal="right"/>
    </xf>
    <xf numFmtId="4" fontId="3" fillId="0" borderId="0" xfId="0" applyNumberFormat="1" applyFont="1" applyFill="1"/>
    <xf numFmtId="1" fontId="2" fillId="0" borderId="0" xfId="0" applyNumberFormat="1" applyFont="1"/>
    <xf numFmtId="3" fontId="2" fillId="0" borderId="0" xfId="0" applyNumberFormat="1" applyFont="1" applyFill="1"/>
    <xf numFmtId="9" fontId="2" fillId="0" borderId="0" xfId="4" applyNumberFormat="1" applyFont="1"/>
    <xf numFmtId="2" fontId="0" fillId="0" borderId="0" xfId="0" applyNumberFormat="1"/>
  </cellXfs>
  <cellStyles count="5">
    <cellStyle name="Comma" xfId="3" builtinId="3"/>
    <cellStyle name="Comma 2" xfId="2" xr:uid="{00000000-0005-0000-0000-000000000000}"/>
    <cellStyle name="Normal" xfId="0" builtinId="0"/>
    <cellStyle name="Normal 2" xfId="1" xr:uid="{00000000-0005-0000-0000-000002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FC\Current_Files\KPIs%20-%202013%20MONTHLY%20PERFORMANCE%20REPORTS\03-2013\GL_LGE%20and%20KU%20Fuel%20Accounts%20-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jects\0226_AMIBusinessCase\Temp_StuWork\LGE_AMS_BusinessModel%20FINAL%20DRAFT_SAW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jects\0287_QFRate\Testimony\20210721_NGCCCapacityCost_0287_D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- New Version"/>
      <sheetName val="Macro1"/>
    </sheetNames>
    <sheetDataSet>
      <sheetData sheetId="0">
        <row r="4">
          <cell r="K4" t="str">
            <v>01-Mar-13</v>
          </cell>
        </row>
      </sheetData>
      <sheetData sheetId="1">
        <row r="131">
          <cell r="A131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s &gt;"/>
      <sheetName val="General Inputs"/>
      <sheetName val="System Attributes"/>
      <sheetName val="AMS Benefit Inputs"/>
      <sheetName val="AMS Cost Inputs"/>
      <sheetName val="Benefits &gt;"/>
      <sheetName val="AMSBenefits"/>
      <sheetName val="Costs &gt;"/>
      <sheetName val="AMSCosts"/>
      <sheetName val="Timing &gt;"/>
      <sheetName val="Deployment Schedule"/>
      <sheetName val="Outputs &gt;"/>
      <sheetName val="Company Summary"/>
      <sheetName val="LGE Electric Summary"/>
      <sheetName val="LGE Gas Summary"/>
      <sheetName val="KU"/>
      <sheetName val="ODP"/>
      <sheetName val="CEM Inputs"/>
    </sheetNames>
    <sheetDataSet>
      <sheetData sheetId="0" refreshError="1"/>
      <sheetData sheetId="1" refreshError="1"/>
      <sheetData sheetId="2">
        <row r="17">
          <cell r="E17">
            <v>2018</v>
          </cell>
        </row>
      </sheetData>
      <sheetData sheetId="3">
        <row r="25">
          <cell r="E25">
            <v>981929</v>
          </cell>
        </row>
        <row r="31">
          <cell r="E31">
            <v>1315977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"/>
      <sheetName val="SSSModel"/>
      <sheetName val="Detail"/>
      <sheetName val="GenAlts"/>
      <sheetName val="Resources"/>
      <sheetName val="Escalation"/>
      <sheetName val="NREL"/>
      <sheetName val="Profiles"/>
      <sheetName val="FixTime"/>
      <sheetName val="OpScenarios"/>
      <sheetName val="ECCExample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6">
          <cell r="B16">
            <v>0.02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E2658-38F0-42E2-A51D-9769DAA8D74D}">
  <dimension ref="A1:AZ23"/>
  <sheetViews>
    <sheetView tabSelected="1" zoomScaleNormal="100" workbookViewId="0">
      <selection activeCell="B26" sqref="B26"/>
    </sheetView>
  </sheetViews>
  <sheetFormatPr defaultRowHeight="14.5" x14ac:dyDescent="0.35"/>
  <cols>
    <col min="1" max="1" width="10.7265625" bestFit="1" customWidth="1"/>
    <col min="2" max="2" width="34.08984375" bestFit="1" customWidth="1"/>
    <col min="3" max="3" width="15" bestFit="1" customWidth="1"/>
    <col min="4" max="52" width="11.90625" customWidth="1"/>
  </cols>
  <sheetData>
    <row r="1" spans="1:52" x14ac:dyDescent="0.35">
      <c r="B1" t="s">
        <v>1</v>
      </c>
      <c r="C1" s="15">
        <v>6.7500000000000004E-2</v>
      </c>
    </row>
    <row r="2" spans="1:52" x14ac:dyDescent="0.35">
      <c r="B2" t="s">
        <v>24</v>
      </c>
      <c r="C2" s="15">
        <v>0.02</v>
      </c>
    </row>
    <row r="4" spans="1:52" x14ac:dyDescent="0.35">
      <c r="C4" s="26" t="s">
        <v>28</v>
      </c>
      <c r="D4" s="2" t="s">
        <v>7</v>
      </c>
      <c r="E4" s="2" t="s">
        <v>31</v>
      </c>
      <c r="F4" s="2" t="s">
        <v>4</v>
      </c>
    </row>
    <row r="5" spans="1:52" x14ac:dyDescent="0.35">
      <c r="B5" t="s">
        <v>42</v>
      </c>
      <c r="C5" s="4">
        <f>NREL!$D$14</f>
        <v>1159.1604410686425</v>
      </c>
      <c r="D5" s="14">
        <v>2028</v>
      </c>
      <c r="E5" s="25">
        <f>AVERAGE(NREL!$F$15:$F$35)</f>
        <v>1.659206780171284E-2</v>
      </c>
      <c r="F5" s="5">
        <v>40</v>
      </c>
    </row>
    <row r="6" spans="1:52" x14ac:dyDescent="0.35">
      <c r="B6" t="s">
        <v>43</v>
      </c>
      <c r="C6" s="11">
        <f>NREL!$E$14</f>
        <v>15.680483231661436</v>
      </c>
      <c r="D6" s="14">
        <v>2028</v>
      </c>
      <c r="E6" s="25">
        <f>AVERAGE(NREL!$G$15:$G$35)</f>
        <v>1.9999999999999976E-2</v>
      </c>
    </row>
    <row r="7" spans="1:52" x14ac:dyDescent="0.35">
      <c r="B7" t="s">
        <v>30</v>
      </c>
      <c r="C7" s="29">
        <f>13155286.2/AVERAGE(683,691,662,691)</f>
        <v>19296.349394939494</v>
      </c>
      <c r="D7" s="14">
        <v>2021</v>
      </c>
      <c r="E7" s="9">
        <v>0.02</v>
      </c>
    </row>
    <row r="8" spans="1:52" x14ac:dyDescent="0.35">
      <c r="B8" t="s">
        <v>29</v>
      </c>
      <c r="C8" s="5">
        <v>526</v>
      </c>
    </row>
    <row r="9" spans="1:52" x14ac:dyDescent="0.35">
      <c r="B9" t="s">
        <v>44</v>
      </c>
      <c r="C9" s="27">
        <f>NPV($C$1,RRProfile!$K$3:$AX$3)</f>
        <v>1.1312928284139268</v>
      </c>
    </row>
    <row r="10" spans="1:52" x14ac:dyDescent="0.35">
      <c r="B10" t="s">
        <v>32</v>
      </c>
      <c r="C10" s="12">
        <f>((1-(1+E5)/(1+C1))/(1-((1+E5)/(1+C1))^F5))*(1+C1)</f>
        <v>5.9307635132850929E-2</v>
      </c>
    </row>
    <row r="11" spans="1:52" x14ac:dyDescent="0.35">
      <c r="B11" t="s">
        <v>47</v>
      </c>
      <c r="C11" s="30">
        <v>0.6</v>
      </c>
    </row>
    <row r="13" spans="1:52" x14ac:dyDescent="0.35">
      <c r="B13" t="s">
        <v>45</v>
      </c>
      <c r="C13" s="1">
        <v>2022</v>
      </c>
      <c r="N13" s="8"/>
      <c r="O13" s="14"/>
    </row>
    <row r="14" spans="1:52" x14ac:dyDescent="0.35">
      <c r="F14" s="1"/>
      <c r="N14" s="8"/>
      <c r="O14" s="14"/>
    </row>
    <row r="15" spans="1:52" x14ac:dyDescent="0.35">
      <c r="C15" s="28">
        <v>2021</v>
      </c>
      <c r="D15">
        <f>C15+1</f>
        <v>2022</v>
      </c>
      <c r="E15">
        <f t="shared" ref="E15" si="0">D15+1</f>
        <v>2023</v>
      </c>
      <c r="F15">
        <f t="shared" ref="F15" si="1">E15+1</f>
        <v>2024</v>
      </c>
      <c r="G15">
        <f t="shared" ref="G15" si="2">F15+1</f>
        <v>2025</v>
      </c>
      <c r="H15">
        <f t="shared" ref="H15" si="3">G15+1</f>
        <v>2026</v>
      </c>
      <c r="I15">
        <f t="shared" ref="I15" si="4">H15+1</f>
        <v>2027</v>
      </c>
      <c r="J15">
        <f t="shared" ref="J15" si="5">I15+1</f>
        <v>2028</v>
      </c>
      <c r="K15">
        <f t="shared" ref="K15" si="6">J15+1</f>
        <v>2029</v>
      </c>
      <c r="L15">
        <f t="shared" ref="L15" si="7">K15+1</f>
        <v>2030</v>
      </c>
      <c r="M15">
        <f t="shared" ref="M15" si="8">L15+1</f>
        <v>2031</v>
      </c>
      <c r="N15">
        <f t="shared" ref="N15" si="9">M15+1</f>
        <v>2032</v>
      </c>
      <c r="O15">
        <f t="shared" ref="O15" si="10">N15+1</f>
        <v>2033</v>
      </c>
      <c r="P15">
        <f t="shared" ref="P15" si="11">O15+1</f>
        <v>2034</v>
      </c>
      <c r="Q15">
        <f t="shared" ref="Q15" si="12">P15+1</f>
        <v>2035</v>
      </c>
      <c r="R15">
        <f t="shared" ref="R15" si="13">Q15+1</f>
        <v>2036</v>
      </c>
      <c r="S15">
        <f t="shared" ref="S15" si="14">R15+1</f>
        <v>2037</v>
      </c>
      <c r="T15">
        <f t="shared" ref="T15" si="15">S15+1</f>
        <v>2038</v>
      </c>
      <c r="U15">
        <f t="shared" ref="U15" si="16">T15+1</f>
        <v>2039</v>
      </c>
      <c r="V15">
        <f t="shared" ref="V15" si="17">U15+1</f>
        <v>2040</v>
      </c>
      <c r="W15">
        <f t="shared" ref="W15" si="18">V15+1</f>
        <v>2041</v>
      </c>
      <c r="X15">
        <f t="shared" ref="X15" si="19">W15+1</f>
        <v>2042</v>
      </c>
      <c r="Y15">
        <f t="shared" ref="Y15" si="20">X15+1</f>
        <v>2043</v>
      </c>
      <c r="Z15">
        <f t="shared" ref="Z15" si="21">Y15+1</f>
        <v>2044</v>
      </c>
      <c r="AA15">
        <f t="shared" ref="AA15" si="22">Z15+1</f>
        <v>2045</v>
      </c>
      <c r="AB15">
        <f t="shared" ref="AB15" si="23">AA15+1</f>
        <v>2046</v>
      </c>
      <c r="AC15">
        <f t="shared" ref="AC15" si="24">AB15+1</f>
        <v>2047</v>
      </c>
      <c r="AD15">
        <f t="shared" ref="AD15" si="25">AC15+1</f>
        <v>2048</v>
      </c>
      <c r="AE15">
        <f t="shared" ref="AE15" si="26">AD15+1</f>
        <v>2049</v>
      </c>
      <c r="AF15">
        <f t="shared" ref="AF15" si="27">AE15+1</f>
        <v>2050</v>
      </c>
      <c r="AG15">
        <f t="shared" ref="AG15" si="28">AF15+1</f>
        <v>2051</v>
      </c>
      <c r="AH15">
        <f t="shared" ref="AH15" si="29">AG15+1</f>
        <v>2052</v>
      </c>
      <c r="AI15">
        <f t="shared" ref="AI15" si="30">AH15+1</f>
        <v>2053</v>
      </c>
      <c r="AJ15">
        <f t="shared" ref="AJ15" si="31">AI15+1</f>
        <v>2054</v>
      </c>
      <c r="AK15">
        <f t="shared" ref="AK15" si="32">AJ15+1</f>
        <v>2055</v>
      </c>
      <c r="AL15">
        <f t="shared" ref="AL15" si="33">AK15+1</f>
        <v>2056</v>
      </c>
      <c r="AM15">
        <f t="shared" ref="AM15" si="34">AL15+1</f>
        <v>2057</v>
      </c>
      <c r="AN15">
        <f t="shared" ref="AN15" si="35">AM15+1</f>
        <v>2058</v>
      </c>
      <c r="AO15">
        <f t="shared" ref="AO15" si="36">AN15+1</f>
        <v>2059</v>
      </c>
      <c r="AP15">
        <f t="shared" ref="AP15" si="37">AO15+1</f>
        <v>2060</v>
      </c>
      <c r="AQ15">
        <f t="shared" ref="AQ15" si="38">AP15+1</f>
        <v>2061</v>
      </c>
      <c r="AR15">
        <f t="shared" ref="AR15" si="39">AQ15+1</f>
        <v>2062</v>
      </c>
      <c r="AS15">
        <f t="shared" ref="AS15" si="40">AR15+1</f>
        <v>2063</v>
      </c>
      <c r="AT15">
        <f t="shared" ref="AT15" si="41">AS15+1</f>
        <v>2064</v>
      </c>
      <c r="AU15">
        <f t="shared" ref="AU15" si="42">AT15+1</f>
        <v>2065</v>
      </c>
      <c r="AV15">
        <f t="shared" ref="AV15" si="43">AU15+1</f>
        <v>2066</v>
      </c>
      <c r="AW15">
        <f t="shared" ref="AW15" si="44">AV15+1</f>
        <v>2067</v>
      </c>
      <c r="AX15">
        <f t="shared" ref="AX15" si="45">AW15+1</f>
        <v>2068</v>
      </c>
      <c r="AY15">
        <f t="shared" ref="AY15" si="46">AX15+1</f>
        <v>2069</v>
      </c>
      <c r="AZ15">
        <f t="shared" ref="AZ15" si="47">AY15+1</f>
        <v>2070</v>
      </c>
    </row>
    <row r="16" spans="1:52" x14ac:dyDescent="0.35">
      <c r="A16" s="4"/>
      <c r="B16" t="s">
        <v>33</v>
      </c>
      <c r="C16" s="4">
        <f t="shared" ref="C16:AH16" si="48">IF(OR(C$15&lt;$C$13,C$15&gt;=$C$13+$F$5),0,$C$5*$C$8*1000*(1+$E$5)^($C$13-$D$5)*$C$9*$C$10*(1+$E$5)^(C$15-$C$13))</f>
        <v>0</v>
      </c>
      <c r="D16" s="4">
        <f t="shared" si="48"/>
        <v>37062493.668615155</v>
      </c>
      <c r="E16" s="4">
        <f t="shared" si="48"/>
        <v>37677437.076465368</v>
      </c>
      <c r="F16" s="4">
        <f t="shared" si="48"/>
        <v>38302583.667032853</v>
      </c>
      <c r="G16" s="4">
        <f t="shared" si="48"/>
        <v>38938102.732217036</v>
      </c>
      <c r="H16" s="4">
        <f t="shared" si="48"/>
        <v>39584166.372820042</v>
      </c>
      <c r="I16" s="4">
        <f t="shared" si="48"/>
        <v>40240949.54515215</v>
      </c>
      <c r="J16" s="4">
        <f t="shared" si="48"/>
        <v>40908630.108410627</v>
      </c>
      <c r="K16" s="4">
        <f t="shared" si="48"/>
        <v>41587388.872844554</v>
      </c>
      <c r="L16" s="4">
        <f t="shared" si="48"/>
        <v>42277409.648718998</v>
      </c>
      <c r="M16" s="4">
        <f t="shared" si="48"/>
        <v>42978879.296091326</v>
      </c>
      <c r="N16" s="4">
        <f t="shared" si="48"/>
        <v>43691987.775413699</v>
      </c>
      <c r="O16" s="4">
        <f t="shared" si="48"/>
        <v>44416928.198974974</v>
      </c>
      <c r="P16" s="4">
        <f t="shared" si="48"/>
        <v>45153896.883196183</v>
      </c>
      <c r="Q16" s="4">
        <f t="shared" si="48"/>
        <v>45903093.401793718</v>
      </c>
      <c r="R16" s="4">
        <f t="shared" si="48"/>
        <v>46664720.639824636</v>
      </c>
      <c r="S16" s="4">
        <f t="shared" si="48"/>
        <v>47438984.848628581</v>
      </c>
      <c r="T16" s="4">
        <f t="shared" si="48"/>
        <v>48226095.701681472</v>
      </c>
      <c r="U16" s="4">
        <f t="shared" si="48"/>
        <v>49026266.351375662</v>
      </c>
      <c r="V16" s="4">
        <f t="shared" si="48"/>
        <v>49839713.486742511</v>
      </c>
      <c r="W16" s="4">
        <f t="shared" si="48"/>
        <v>50666657.392132483</v>
      </c>
      <c r="X16" s="4">
        <f t="shared" si="48"/>
        <v>51507322.006868899</v>
      </c>
      <c r="Y16" s="4">
        <f t="shared" si="48"/>
        <v>52361934.985891528</v>
      </c>
      <c r="Z16" s="4">
        <f t="shared" si="48"/>
        <v>53230727.761406325</v>
      </c>
      <c r="AA16" s="4">
        <f t="shared" si="48"/>
        <v>54113935.605558082</v>
      </c>
      <c r="AB16" s="4">
        <f t="shared" si="48"/>
        <v>55011797.694143027</v>
      </c>
      <c r="AC16" s="4">
        <f t="shared" si="48"/>
        <v>55924557.171378367</v>
      </c>
      <c r="AD16" s="4">
        <f t="shared" si="48"/>
        <v>56852461.215746626</v>
      </c>
      <c r="AE16" s="4">
        <f t="shared" si="48"/>
        <v>57795761.106932551</v>
      </c>
      <c r="AF16" s="4">
        <f t="shared" si="48"/>
        <v>58754712.293870375</v>
      </c>
      <c r="AG16" s="4">
        <f t="shared" si="48"/>
        <v>59729574.4639204</v>
      </c>
      <c r="AH16" s="4">
        <f t="shared" si="48"/>
        <v>60720611.613193221</v>
      </c>
      <c r="AI16" s="4">
        <f t="shared" ref="AI16:AZ16" si="49">IF(OR(AI$15&lt;$C$13,AI$15&gt;=$C$13+$F$5),0,$C$5*$C$8*1000*(1+$E$5)^($C$13-$D$5)*$C$9*$C$10*(1+$E$5)^(AI$15-$C$13))</f>
        <v>61728092.118040778</v>
      </c>
      <c r="AJ16" s="4">
        <f t="shared" si="49"/>
        <v>62752288.8077337</v>
      </c>
      <c r="AK16" s="4">
        <f t="shared" si="49"/>
        <v>63793479.038344286</v>
      </c>
      <c r="AL16" s="4">
        <f t="shared" si="49"/>
        <v>64851944.767855637</v>
      </c>
      <c r="AM16" s="4">
        <f t="shared" si="49"/>
        <v>65927972.632516824</v>
      </c>
      <c r="AN16" s="4">
        <f t="shared" si="49"/>
        <v>67021854.024465017</v>
      </c>
      <c r="AO16" s="4">
        <f t="shared" si="49"/>
        <v>68133885.170635432</v>
      </c>
      <c r="AP16" s="4">
        <f t="shared" si="49"/>
        <v>69264367.212980732</v>
      </c>
      <c r="AQ16" s="4">
        <f t="shared" si="49"/>
        <v>70413606.290021241</v>
      </c>
      <c r="AR16" s="4">
        <f t="shared" si="49"/>
        <v>0</v>
      </c>
      <c r="AS16" s="4">
        <f t="shared" si="49"/>
        <v>0</v>
      </c>
      <c r="AT16" s="4">
        <f t="shared" si="49"/>
        <v>0</v>
      </c>
      <c r="AU16" s="4">
        <f t="shared" si="49"/>
        <v>0</v>
      </c>
      <c r="AV16" s="4">
        <f t="shared" si="49"/>
        <v>0</v>
      </c>
      <c r="AW16" s="4">
        <f t="shared" si="49"/>
        <v>0</v>
      </c>
      <c r="AX16" s="4">
        <f t="shared" si="49"/>
        <v>0</v>
      </c>
      <c r="AY16" s="4">
        <f t="shared" si="49"/>
        <v>0</v>
      </c>
      <c r="AZ16" s="4">
        <f t="shared" si="49"/>
        <v>0</v>
      </c>
    </row>
    <row r="17" spans="2:52" x14ac:dyDescent="0.35">
      <c r="B17" t="s">
        <v>34</v>
      </c>
      <c r="C17" s="4">
        <f t="shared" ref="C17:AH17" si="50">IF(OR(C$15&lt;$C$13,C$15&gt;=$C$13+$F$5),0,$C$6*$C$8*1000*(1+$E$6)^($C$13-$D$6)*(1+$E$6)^(C$15-$C$13))</f>
        <v>0</v>
      </c>
      <c r="D17" s="4">
        <f t="shared" si="50"/>
        <v>7323929.5138656171</v>
      </c>
      <c r="E17" s="4">
        <f t="shared" si="50"/>
        <v>7470408.1041429294</v>
      </c>
      <c r="F17" s="4">
        <f t="shared" si="50"/>
        <v>7619816.2662257878</v>
      </c>
      <c r="G17" s="4">
        <f t="shared" si="50"/>
        <v>7772212.5915503036</v>
      </c>
      <c r="H17" s="4">
        <f t="shared" si="50"/>
        <v>7927656.8433813099</v>
      </c>
      <c r="I17" s="4">
        <f t="shared" si="50"/>
        <v>8086209.9802489365</v>
      </c>
      <c r="J17" s="4">
        <f t="shared" si="50"/>
        <v>8247934.1798539152</v>
      </c>
      <c r="K17" s="4">
        <f t="shared" si="50"/>
        <v>8412892.863450991</v>
      </c>
      <c r="L17" s="4">
        <f t="shared" si="50"/>
        <v>8581150.7207200117</v>
      </c>
      <c r="M17" s="4">
        <f t="shared" si="50"/>
        <v>8752773.7351344135</v>
      </c>
      <c r="N17" s="4">
        <f t="shared" si="50"/>
        <v>8927829.2098371014</v>
      </c>
      <c r="O17" s="4">
        <f t="shared" si="50"/>
        <v>9106385.7940338422</v>
      </c>
      <c r="P17" s="4">
        <f t="shared" si="50"/>
        <v>9288513.5099145193</v>
      </c>
      <c r="Q17" s="4">
        <f t="shared" si="50"/>
        <v>9474283.7801128104</v>
      </c>
      <c r="R17" s="4">
        <f t="shared" si="50"/>
        <v>9663769.4557150677</v>
      </c>
      <c r="S17" s="4">
        <f t="shared" si="50"/>
        <v>9857044.8448293656</v>
      </c>
      <c r="T17" s="4">
        <f t="shared" si="50"/>
        <v>10054185.741725955</v>
      </c>
      <c r="U17" s="4">
        <f t="shared" si="50"/>
        <v>10255269.456560474</v>
      </c>
      <c r="V17" s="4">
        <f t="shared" si="50"/>
        <v>10460374.845691683</v>
      </c>
      <c r="W17" s="4">
        <f t="shared" si="50"/>
        <v>10669582.342605516</v>
      </c>
      <c r="X17" s="4">
        <f t="shared" si="50"/>
        <v>10882973.989457628</v>
      </c>
      <c r="Y17" s="4">
        <f t="shared" si="50"/>
        <v>11100633.469246779</v>
      </c>
      <c r="Z17" s="4">
        <f t="shared" si="50"/>
        <v>11322646.138631716</v>
      </c>
      <c r="AA17" s="4">
        <f t="shared" si="50"/>
        <v>11549099.061404347</v>
      </c>
      <c r="AB17" s="4">
        <f t="shared" si="50"/>
        <v>11780081.042632435</v>
      </c>
      <c r="AC17" s="4">
        <f t="shared" si="50"/>
        <v>12015682.663485084</v>
      </c>
      <c r="AD17" s="4">
        <f t="shared" si="50"/>
        <v>12255996.316754786</v>
      </c>
      <c r="AE17" s="4">
        <f t="shared" si="50"/>
        <v>12501116.243089881</v>
      </c>
      <c r="AF17" s="4">
        <f t="shared" si="50"/>
        <v>12751138.567951681</v>
      </c>
      <c r="AG17" s="4">
        <f t="shared" si="50"/>
        <v>13006161.339310713</v>
      </c>
      <c r="AH17" s="4">
        <f t="shared" si="50"/>
        <v>13266284.566096928</v>
      </c>
      <c r="AI17" s="4">
        <f t="shared" ref="AI17:AZ17" si="51">IF(OR(AI$15&lt;$C$13,AI$15&gt;=$C$13+$F$5),0,$C$6*$C$8*1000*(1+$E$6)^($C$13-$D$6)*(1+$E$6)^(AI$15-$C$13))</f>
        <v>13531610.257418863</v>
      </c>
      <c r="AJ17" s="4">
        <f t="shared" si="51"/>
        <v>13802242.462567244</v>
      </c>
      <c r="AK17" s="4">
        <f t="shared" si="51"/>
        <v>14078287.311818589</v>
      </c>
      <c r="AL17" s="4">
        <f t="shared" si="51"/>
        <v>14359853.058054959</v>
      </c>
      <c r="AM17" s="4">
        <f t="shared" si="51"/>
        <v>14647050.119216058</v>
      </c>
      <c r="AN17" s="4">
        <f t="shared" si="51"/>
        <v>14939991.121600378</v>
      </c>
      <c r="AO17" s="4">
        <f t="shared" si="51"/>
        <v>15238790.944032388</v>
      </c>
      <c r="AP17" s="4">
        <f t="shared" si="51"/>
        <v>15543566.762913037</v>
      </c>
      <c r="AQ17" s="4">
        <f t="shared" si="51"/>
        <v>15854438.098171292</v>
      </c>
      <c r="AR17" s="4">
        <f t="shared" si="51"/>
        <v>0</v>
      </c>
      <c r="AS17" s="4">
        <f t="shared" si="51"/>
        <v>0</v>
      </c>
      <c r="AT17" s="4">
        <f t="shared" si="51"/>
        <v>0</v>
      </c>
      <c r="AU17" s="4">
        <f t="shared" si="51"/>
        <v>0</v>
      </c>
      <c r="AV17" s="4">
        <f t="shared" si="51"/>
        <v>0</v>
      </c>
      <c r="AW17" s="4">
        <f t="shared" si="51"/>
        <v>0</v>
      </c>
      <c r="AX17" s="4">
        <f t="shared" si="51"/>
        <v>0</v>
      </c>
      <c r="AY17" s="4">
        <f t="shared" si="51"/>
        <v>0</v>
      </c>
      <c r="AZ17" s="4">
        <f t="shared" si="51"/>
        <v>0</v>
      </c>
    </row>
    <row r="18" spans="2:52" x14ac:dyDescent="0.35">
      <c r="B18" t="s">
        <v>35</v>
      </c>
      <c r="C18" s="23">
        <f t="shared" ref="C18:AH18" si="52">IF(OR(C$15&lt;$C$13,C$15&gt;=$C$13+$F$5),0,$C$7*$C$8*(1+$E$7)^($C$13-$D$7)*(1+$E$7)^(C$15-$C$13))</f>
        <v>0</v>
      </c>
      <c r="D18" s="23">
        <f t="shared" si="52"/>
        <v>10352877.377372937</v>
      </c>
      <c r="E18" s="23">
        <f t="shared" si="52"/>
        <v>10559934.924920397</v>
      </c>
      <c r="F18" s="23">
        <f t="shared" si="52"/>
        <v>10771133.623418804</v>
      </c>
      <c r="G18" s="23">
        <f t="shared" si="52"/>
        <v>10986556.29588718</v>
      </c>
      <c r="H18" s="23">
        <f t="shared" si="52"/>
        <v>11206287.421804924</v>
      </c>
      <c r="I18" s="23">
        <f t="shared" si="52"/>
        <v>11430413.170241022</v>
      </c>
      <c r="J18" s="23">
        <f t="shared" si="52"/>
        <v>11659021.433645843</v>
      </c>
      <c r="K18" s="23">
        <f t="shared" si="52"/>
        <v>11892201.862318758</v>
      </c>
      <c r="L18" s="23">
        <f t="shared" si="52"/>
        <v>12130045.899565134</v>
      </c>
      <c r="M18" s="23">
        <f t="shared" si="52"/>
        <v>12372646.817556437</v>
      </c>
      <c r="N18" s="23">
        <f t="shared" si="52"/>
        <v>12620099.753907565</v>
      </c>
      <c r="O18" s="23">
        <f t="shared" si="52"/>
        <v>12872501.748985715</v>
      </c>
      <c r="P18" s="23">
        <f t="shared" si="52"/>
        <v>13129951.783965431</v>
      </c>
      <c r="Q18" s="23">
        <f t="shared" si="52"/>
        <v>13392550.81964474</v>
      </c>
      <c r="R18" s="23">
        <f t="shared" si="52"/>
        <v>13660401.836037636</v>
      </c>
      <c r="S18" s="23">
        <f t="shared" si="52"/>
        <v>13933609.872758385</v>
      </c>
      <c r="T18" s="23">
        <f t="shared" si="52"/>
        <v>14212282.070213554</v>
      </c>
      <c r="U18" s="23">
        <f t="shared" si="52"/>
        <v>14496527.711617826</v>
      </c>
      <c r="V18" s="23">
        <f t="shared" si="52"/>
        <v>14786458.265850181</v>
      </c>
      <c r="W18" s="23">
        <f t="shared" si="52"/>
        <v>15082187.431167183</v>
      </c>
      <c r="X18" s="23">
        <f t="shared" si="52"/>
        <v>15383831.17979053</v>
      </c>
      <c r="Y18" s="23">
        <f t="shared" si="52"/>
        <v>15691507.803386338</v>
      </c>
      <c r="Z18" s="23">
        <f t="shared" si="52"/>
        <v>16005337.959454067</v>
      </c>
      <c r="AA18" s="23">
        <f t="shared" si="52"/>
        <v>16325444.718643146</v>
      </c>
      <c r="AB18" s="23">
        <f t="shared" si="52"/>
        <v>16651953.613016009</v>
      </c>
      <c r="AC18" s="23">
        <f t="shared" si="52"/>
        <v>16984992.68527633</v>
      </c>
      <c r="AD18" s="23">
        <f t="shared" si="52"/>
        <v>17324692.538981859</v>
      </c>
      <c r="AE18" s="23">
        <f t="shared" si="52"/>
        <v>17671186.389761493</v>
      </c>
      <c r="AF18" s="23">
        <f t="shared" si="52"/>
        <v>18024610.117556725</v>
      </c>
      <c r="AG18" s="23">
        <f t="shared" si="52"/>
        <v>18385102.319907855</v>
      </c>
      <c r="AH18" s="23">
        <f t="shared" si="52"/>
        <v>18752804.366306014</v>
      </c>
      <c r="AI18" s="23">
        <f t="shared" ref="AI18:AZ18" si="53">IF(OR(AI$15&lt;$C$13,AI$15&gt;=$C$13+$F$5),0,$C$7*$C$8*(1+$E$7)^($C$13-$D$7)*(1+$E$7)^(AI$15-$C$13))</f>
        <v>19127860.453632131</v>
      </c>
      <c r="AJ18" s="23">
        <f t="shared" si="53"/>
        <v>19510417.662704777</v>
      </c>
      <c r="AK18" s="23">
        <f t="shared" si="53"/>
        <v>19900626.015958875</v>
      </c>
      <c r="AL18" s="23">
        <f t="shared" si="53"/>
        <v>20298638.53627805</v>
      </c>
      <c r="AM18" s="23">
        <f t="shared" si="53"/>
        <v>20704611.30700361</v>
      </c>
      <c r="AN18" s="23">
        <f t="shared" si="53"/>
        <v>21118703.533143681</v>
      </c>
      <c r="AO18" s="23">
        <f t="shared" si="53"/>
        <v>21541077.603806559</v>
      </c>
      <c r="AP18" s="23">
        <f t="shared" si="53"/>
        <v>21971899.15588269</v>
      </c>
      <c r="AQ18" s="23">
        <f t="shared" si="53"/>
        <v>22411337.139000338</v>
      </c>
      <c r="AR18" s="23">
        <f t="shared" si="53"/>
        <v>0</v>
      </c>
      <c r="AS18" s="23">
        <f t="shared" si="53"/>
        <v>0</v>
      </c>
      <c r="AT18" s="23">
        <f t="shared" si="53"/>
        <v>0</v>
      </c>
      <c r="AU18" s="23">
        <f t="shared" si="53"/>
        <v>0</v>
      </c>
      <c r="AV18" s="23">
        <f t="shared" si="53"/>
        <v>0</v>
      </c>
      <c r="AW18" s="23">
        <f t="shared" si="53"/>
        <v>0</v>
      </c>
      <c r="AX18" s="23">
        <f t="shared" si="53"/>
        <v>0</v>
      </c>
      <c r="AY18" s="23">
        <f t="shared" si="53"/>
        <v>0</v>
      </c>
      <c r="AZ18" s="23">
        <f t="shared" si="53"/>
        <v>0</v>
      </c>
    </row>
    <row r="19" spans="2:52" x14ac:dyDescent="0.35">
      <c r="B19" t="s">
        <v>3</v>
      </c>
      <c r="C19" s="4">
        <f>SUM(C16:C18)</f>
        <v>0</v>
      </c>
      <c r="D19" s="4">
        <f t="shared" ref="D19:AZ19" si="54">SUM(D16:D18)</f>
        <v>54739300.55985371</v>
      </c>
      <c r="E19" s="4">
        <f t="shared" si="54"/>
        <v>55707780.10552869</v>
      </c>
      <c r="F19" s="4">
        <f t="shared" si="54"/>
        <v>56693533.556677446</v>
      </c>
      <c r="G19" s="4">
        <f t="shared" si="54"/>
        <v>57696871.619654521</v>
      </c>
      <c r="H19" s="4">
        <f t="shared" si="54"/>
        <v>58718110.63800627</v>
      </c>
      <c r="I19" s="4">
        <f t="shared" si="54"/>
        <v>59757572.695642106</v>
      </c>
      <c r="J19" s="4">
        <f t="shared" si="54"/>
        <v>60815585.721910387</v>
      </c>
      <c r="K19" s="4">
        <f t="shared" si="54"/>
        <v>61892483.598614305</v>
      </c>
      <c r="L19" s="4">
        <f t="shared" si="54"/>
        <v>62988606.269004136</v>
      </c>
      <c r="M19" s="4">
        <f t="shared" si="54"/>
        <v>64104299.848782182</v>
      </c>
      <c r="N19" s="4">
        <f t="shared" si="54"/>
        <v>65239916.739158362</v>
      </c>
      <c r="O19" s="4">
        <f t="shared" si="54"/>
        <v>66395815.74199453</v>
      </c>
      <c r="P19" s="4">
        <f t="shared" si="54"/>
        <v>67572362.177076131</v>
      </c>
      <c r="Q19" s="4">
        <f t="shared" si="54"/>
        <v>68769928.00155127</v>
      </c>
      <c r="R19" s="4">
        <f t="shared" si="54"/>
        <v>69988891.93157734</v>
      </c>
      <c r="S19" s="4">
        <f t="shared" si="54"/>
        <v>71229639.566216335</v>
      </c>
      <c r="T19" s="4">
        <f t="shared" si="54"/>
        <v>72492563.513620988</v>
      </c>
      <c r="U19" s="4">
        <f t="shared" si="54"/>
        <v>73778063.519553959</v>
      </c>
      <c r="V19" s="4">
        <f t="shared" si="54"/>
        <v>75086546.598284379</v>
      </c>
      <c r="W19" s="4">
        <f t="shared" si="54"/>
        <v>76418427.165905178</v>
      </c>
      <c r="X19" s="4">
        <f t="shared" si="54"/>
        <v>77774127.176117063</v>
      </c>
      <c r="Y19" s="4">
        <f t="shared" si="54"/>
        <v>79154076.258524656</v>
      </c>
      <c r="Z19" s="4">
        <f t="shared" si="54"/>
        <v>80558711.859492108</v>
      </c>
      <c r="AA19" s="4">
        <f t="shared" si="54"/>
        <v>81988479.385605574</v>
      </c>
      <c r="AB19" s="4">
        <f t="shared" si="54"/>
        <v>83443832.349791467</v>
      </c>
      <c r="AC19" s="4">
        <f t="shared" si="54"/>
        <v>84925232.520139784</v>
      </c>
      <c r="AD19" s="4">
        <f t="shared" si="54"/>
        <v>86433150.071483269</v>
      </c>
      <c r="AE19" s="4">
        <f t="shared" si="54"/>
        <v>87968063.739783928</v>
      </c>
      <c r="AF19" s="4">
        <f t="shared" si="54"/>
        <v>89530460.979378775</v>
      </c>
      <c r="AG19" s="4">
        <f t="shared" si="54"/>
        <v>91120838.123138979</v>
      </c>
      <c r="AH19" s="4">
        <f t="shared" si="54"/>
        <v>92739700.545596153</v>
      </c>
      <c r="AI19" s="4">
        <f t="shared" si="54"/>
        <v>94387562.829091772</v>
      </c>
      <c r="AJ19" s="4">
        <f t="shared" si="54"/>
        <v>96064948.93300572</v>
      </c>
      <c r="AK19" s="4">
        <f t="shared" si="54"/>
        <v>97772392.366121754</v>
      </c>
      <c r="AL19" s="4">
        <f t="shared" si="54"/>
        <v>99510436.362188652</v>
      </c>
      <c r="AM19" s="4">
        <f t="shared" si="54"/>
        <v>101279634.0587365</v>
      </c>
      <c r="AN19" s="4">
        <f t="shared" si="54"/>
        <v>103080548.67920908</v>
      </c>
      <c r="AO19" s="4">
        <f t="shared" si="54"/>
        <v>104913753.71847437</v>
      </c>
      <c r="AP19" s="4">
        <f t="shared" si="54"/>
        <v>106779833.13177645</v>
      </c>
      <c r="AQ19" s="4">
        <f t="shared" si="54"/>
        <v>108679381.52719288</v>
      </c>
      <c r="AR19" s="4">
        <f t="shared" si="54"/>
        <v>0</v>
      </c>
      <c r="AS19" s="4">
        <f t="shared" si="54"/>
        <v>0</v>
      </c>
      <c r="AT19" s="4">
        <f t="shared" si="54"/>
        <v>0</v>
      </c>
      <c r="AU19" s="4">
        <f t="shared" si="54"/>
        <v>0</v>
      </c>
      <c r="AV19" s="4">
        <f t="shared" si="54"/>
        <v>0</v>
      </c>
      <c r="AW19" s="4">
        <f t="shared" si="54"/>
        <v>0</v>
      </c>
      <c r="AX19" s="4">
        <f t="shared" si="54"/>
        <v>0</v>
      </c>
      <c r="AY19" s="4">
        <f t="shared" si="54"/>
        <v>0</v>
      </c>
      <c r="AZ19" s="4">
        <f t="shared" si="54"/>
        <v>0</v>
      </c>
    </row>
    <row r="20" spans="2:52" x14ac:dyDescent="0.35">
      <c r="B20" t="s">
        <v>27</v>
      </c>
      <c r="C20" s="4">
        <f t="shared" ref="C20:AH20" si="55">C19/$C$8</f>
        <v>0</v>
      </c>
      <c r="D20" s="4">
        <f t="shared" si="55"/>
        <v>104067.11133052036</v>
      </c>
      <c r="E20" s="4">
        <f t="shared" si="55"/>
        <v>105908.3271968226</v>
      </c>
      <c r="F20" s="4">
        <f t="shared" si="55"/>
        <v>107782.38318759971</v>
      </c>
      <c r="G20" s="4">
        <f t="shared" si="55"/>
        <v>109689.86999934319</v>
      </c>
      <c r="H20" s="4">
        <f t="shared" si="55"/>
        <v>111631.3890456393</v>
      </c>
      <c r="I20" s="4">
        <f t="shared" si="55"/>
        <v>113607.55265331198</v>
      </c>
      <c r="J20" s="4">
        <f t="shared" si="55"/>
        <v>115618.98426218705</v>
      </c>
      <c r="K20" s="4">
        <f t="shared" si="55"/>
        <v>117666.31862854431</v>
      </c>
      <c r="L20" s="4">
        <f t="shared" si="55"/>
        <v>119750.20203232726</v>
      </c>
      <c r="M20" s="4">
        <f t="shared" si="55"/>
        <v>121871.29248817905</v>
      </c>
      <c r="N20" s="4">
        <f t="shared" si="55"/>
        <v>124030.25996037711</v>
      </c>
      <c r="O20" s="4">
        <f t="shared" si="55"/>
        <v>126227.78658173865</v>
      </c>
      <c r="P20" s="4">
        <f t="shared" si="55"/>
        <v>128464.56687657059</v>
      </c>
      <c r="Q20" s="4">
        <f t="shared" si="55"/>
        <v>130741.30798774006</v>
      </c>
      <c r="R20" s="4">
        <f t="shared" si="55"/>
        <v>133058.72990794171</v>
      </c>
      <c r="S20" s="4">
        <f t="shared" si="55"/>
        <v>135417.56571524017</v>
      </c>
      <c r="T20" s="4">
        <f t="shared" si="55"/>
        <v>137818.56181296764</v>
      </c>
      <c r="U20" s="4">
        <f t="shared" si="55"/>
        <v>140262.47817405695</v>
      </c>
      <c r="V20" s="4">
        <f t="shared" si="55"/>
        <v>142750.08858989427</v>
      </c>
      <c r="W20" s="4">
        <f t="shared" si="55"/>
        <v>145282.18092377411</v>
      </c>
      <c r="X20" s="4">
        <f t="shared" si="55"/>
        <v>147859.55736904385</v>
      </c>
      <c r="Y20" s="4">
        <f t="shared" si="55"/>
        <v>150483.03471202406</v>
      </c>
      <c r="Z20" s="4">
        <f t="shared" si="55"/>
        <v>153153.44459979489</v>
      </c>
      <c r="AA20" s="4">
        <f t="shared" si="55"/>
        <v>155871.63381293835</v>
      </c>
      <c r="AB20" s="4">
        <f t="shared" si="55"/>
        <v>158638.46454332978</v>
      </c>
      <c r="AC20" s="4">
        <f t="shared" si="55"/>
        <v>161454.81467707184</v>
      </c>
      <c r="AD20" s="4">
        <f t="shared" si="55"/>
        <v>164321.57808266781</v>
      </c>
      <c r="AE20" s="4">
        <f t="shared" si="55"/>
        <v>167239.66490453217</v>
      </c>
      <c r="AF20" s="4">
        <f t="shared" si="55"/>
        <v>170210.00186193682</v>
      </c>
      <c r="AG20" s="4">
        <f t="shared" si="55"/>
        <v>173233.53255349616</v>
      </c>
      <c r="AH20" s="4">
        <f t="shared" si="55"/>
        <v>176311.21776729307</v>
      </c>
      <c r="AI20" s="4">
        <f t="shared" ref="AI20:AZ20" si="56">AI19/$C$8</f>
        <v>179444.03579675243</v>
      </c>
      <c r="AJ20" s="4">
        <f t="shared" si="56"/>
        <v>182632.98276236828</v>
      </c>
      <c r="AK20" s="4">
        <f t="shared" si="56"/>
        <v>185879.07293939497</v>
      </c>
      <c r="AL20" s="4">
        <f t="shared" si="56"/>
        <v>189183.33909161339</v>
      </c>
      <c r="AM20" s="4">
        <f t="shared" si="56"/>
        <v>192546.83281128612</v>
      </c>
      <c r="AN20" s="4">
        <f t="shared" si="56"/>
        <v>195970.6248654165</v>
      </c>
      <c r="AO20" s="4">
        <f t="shared" si="56"/>
        <v>199455.80554843036</v>
      </c>
      <c r="AP20" s="4">
        <f t="shared" si="56"/>
        <v>203003.4850414001</v>
      </c>
      <c r="AQ20" s="4">
        <f t="shared" si="56"/>
        <v>206614.79377793323</v>
      </c>
      <c r="AR20" s="4">
        <f t="shared" si="56"/>
        <v>0</v>
      </c>
      <c r="AS20" s="4">
        <f t="shared" si="56"/>
        <v>0</v>
      </c>
      <c r="AT20" s="4">
        <f t="shared" si="56"/>
        <v>0</v>
      </c>
      <c r="AU20" s="4">
        <f t="shared" si="56"/>
        <v>0</v>
      </c>
      <c r="AV20" s="4">
        <f t="shared" si="56"/>
        <v>0</v>
      </c>
      <c r="AW20" s="4">
        <f t="shared" si="56"/>
        <v>0</v>
      </c>
      <c r="AX20" s="4">
        <f t="shared" si="56"/>
        <v>0</v>
      </c>
      <c r="AY20" s="4">
        <f t="shared" si="56"/>
        <v>0</v>
      </c>
      <c r="AZ20" s="4">
        <f t="shared" si="56"/>
        <v>0</v>
      </c>
    </row>
    <row r="21" spans="2:52" x14ac:dyDescent="0.35">
      <c r="B21" t="s">
        <v>48</v>
      </c>
      <c r="C21" s="4">
        <f>IF(C19&gt;0,8760*$C$8*$C$11,0)</f>
        <v>0</v>
      </c>
      <c r="D21" s="4">
        <f t="shared" ref="D21:AZ21" si="57">IF(D19&gt;0,8760*$C$8*$C$11,0)</f>
        <v>2764656</v>
      </c>
      <c r="E21" s="4">
        <f t="shared" si="57"/>
        <v>2764656</v>
      </c>
      <c r="F21" s="4">
        <f t="shared" si="57"/>
        <v>2764656</v>
      </c>
      <c r="G21" s="4">
        <f t="shared" si="57"/>
        <v>2764656</v>
      </c>
      <c r="H21" s="4">
        <f t="shared" si="57"/>
        <v>2764656</v>
      </c>
      <c r="I21" s="4">
        <f t="shared" si="57"/>
        <v>2764656</v>
      </c>
      <c r="J21" s="4">
        <f t="shared" si="57"/>
        <v>2764656</v>
      </c>
      <c r="K21" s="4">
        <f t="shared" si="57"/>
        <v>2764656</v>
      </c>
      <c r="L21" s="4">
        <f t="shared" si="57"/>
        <v>2764656</v>
      </c>
      <c r="M21" s="4">
        <f t="shared" si="57"/>
        <v>2764656</v>
      </c>
      <c r="N21" s="4">
        <f t="shared" si="57"/>
        <v>2764656</v>
      </c>
      <c r="O21" s="4">
        <f t="shared" si="57"/>
        <v>2764656</v>
      </c>
      <c r="P21" s="4">
        <f t="shared" si="57"/>
        <v>2764656</v>
      </c>
      <c r="Q21" s="4">
        <f t="shared" si="57"/>
        <v>2764656</v>
      </c>
      <c r="R21" s="4">
        <f t="shared" si="57"/>
        <v>2764656</v>
      </c>
      <c r="S21" s="4">
        <f t="shared" si="57"/>
        <v>2764656</v>
      </c>
      <c r="T21" s="4">
        <f t="shared" si="57"/>
        <v>2764656</v>
      </c>
      <c r="U21" s="4">
        <f t="shared" si="57"/>
        <v>2764656</v>
      </c>
      <c r="V21" s="4">
        <f t="shared" si="57"/>
        <v>2764656</v>
      </c>
      <c r="W21" s="4">
        <f t="shared" si="57"/>
        <v>2764656</v>
      </c>
      <c r="X21" s="4">
        <f t="shared" si="57"/>
        <v>2764656</v>
      </c>
      <c r="Y21" s="4">
        <f t="shared" si="57"/>
        <v>2764656</v>
      </c>
      <c r="Z21" s="4">
        <f t="shared" si="57"/>
        <v>2764656</v>
      </c>
      <c r="AA21" s="4">
        <f t="shared" si="57"/>
        <v>2764656</v>
      </c>
      <c r="AB21" s="4">
        <f t="shared" si="57"/>
        <v>2764656</v>
      </c>
      <c r="AC21" s="4">
        <f t="shared" si="57"/>
        <v>2764656</v>
      </c>
      <c r="AD21" s="4">
        <f t="shared" si="57"/>
        <v>2764656</v>
      </c>
      <c r="AE21" s="4">
        <f t="shared" si="57"/>
        <v>2764656</v>
      </c>
      <c r="AF21" s="4">
        <f t="shared" si="57"/>
        <v>2764656</v>
      </c>
      <c r="AG21" s="4">
        <f t="shared" si="57"/>
        <v>2764656</v>
      </c>
      <c r="AH21" s="4">
        <f t="shared" si="57"/>
        <v>2764656</v>
      </c>
      <c r="AI21" s="4">
        <f t="shared" si="57"/>
        <v>2764656</v>
      </c>
      <c r="AJ21" s="4">
        <f t="shared" si="57"/>
        <v>2764656</v>
      </c>
      <c r="AK21" s="4">
        <f t="shared" si="57"/>
        <v>2764656</v>
      </c>
      <c r="AL21" s="4">
        <f t="shared" si="57"/>
        <v>2764656</v>
      </c>
      <c r="AM21" s="4">
        <f t="shared" si="57"/>
        <v>2764656</v>
      </c>
      <c r="AN21" s="4">
        <f t="shared" si="57"/>
        <v>2764656</v>
      </c>
      <c r="AO21" s="4">
        <f t="shared" si="57"/>
        <v>2764656</v>
      </c>
      <c r="AP21" s="4">
        <f t="shared" si="57"/>
        <v>2764656</v>
      </c>
      <c r="AQ21" s="4">
        <f t="shared" si="57"/>
        <v>2764656</v>
      </c>
      <c r="AR21" s="4">
        <f t="shared" si="57"/>
        <v>0</v>
      </c>
      <c r="AS21" s="4">
        <f t="shared" si="57"/>
        <v>0</v>
      </c>
      <c r="AT21" s="4">
        <f t="shared" si="57"/>
        <v>0</v>
      </c>
      <c r="AU21" s="4">
        <f t="shared" si="57"/>
        <v>0</v>
      </c>
      <c r="AV21" s="4">
        <f t="shared" si="57"/>
        <v>0</v>
      </c>
      <c r="AW21" s="4">
        <f t="shared" si="57"/>
        <v>0</v>
      </c>
      <c r="AX21" s="4">
        <f t="shared" si="57"/>
        <v>0</v>
      </c>
      <c r="AY21" s="4">
        <f t="shared" si="57"/>
        <v>0</v>
      </c>
      <c r="AZ21" s="4">
        <f t="shared" si="57"/>
        <v>0</v>
      </c>
    </row>
    <row r="23" spans="2:52" x14ac:dyDescent="0.35">
      <c r="B23" t="s">
        <v>49</v>
      </c>
      <c r="C23" s="31">
        <f>NPV($C$1,C19:AZ19)/NPV($C$1,C21:AZ21)</f>
        <v>24.68241873497951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096AF-8B81-4C26-AB1D-CF38692209EB}">
  <dimension ref="A1:G36"/>
  <sheetViews>
    <sheetView workbookViewId="0">
      <selection activeCell="H1" sqref="H1:M1048576"/>
    </sheetView>
  </sheetViews>
  <sheetFormatPr defaultRowHeight="14.5" x14ac:dyDescent="0.35"/>
  <cols>
    <col min="2" max="7" width="14.1796875" customWidth="1"/>
  </cols>
  <sheetData>
    <row r="1" spans="1:7" x14ac:dyDescent="0.35">
      <c r="A1" t="s">
        <v>26</v>
      </c>
    </row>
    <row r="3" spans="1:7" ht="58" x14ac:dyDescent="0.35">
      <c r="A3" t="s">
        <v>25</v>
      </c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</row>
    <row r="4" spans="1:7" x14ac:dyDescent="0.35">
      <c r="A4">
        <v>2018</v>
      </c>
      <c r="B4" s="5">
        <v>1044.350461495043</v>
      </c>
      <c r="C4" s="5">
        <v>12.86345776031434</v>
      </c>
      <c r="D4" s="4">
        <f>B4*(1+[3]Escalation!$B$16)^($A4-2018)</f>
        <v>1044.350461495043</v>
      </c>
      <c r="E4" s="4">
        <f>C4*(1+[3]Escalation!$B$16)^($A4-2018)</f>
        <v>12.86345776031434</v>
      </c>
      <c r="F4" s="4"/>
      <c r="G4" s="4"/>
    </row>
    <row r="5" spans="1:7" x14ac:dyDescent="0.35">
      <c r="A5">
        <v>2019</v>
      </c>
      <c r="B5" s="5">
        <v>1033.6092035331308</v>
      </c>
      <c r="C5" s="5">
        <v>12.86345776031434</v>
      </c>
      <c r="D5" s="4">
        <f>B5*(1+[3]Escalation!$B$16)^($A5-2018)</f>
        <v>1054.2813876037933</v>
      </c>
      <c r="E5" s="4">
        <f>C5*(1+[3]Escalation!$B$16)^($A5-2018)</f>
        <v>13.120726915520628</v>
      </c>
      <c r="F5" s="4"/>
      <c r="G5" s="4"/>
    </row>
    <row r="6" spans="1:7" x14ac:dyDescent="0.35">
      <c r="A6">
        <v>2020</v>
      </c>
      <c r="B6" s="5">
        <v>1022.8679455712188</v>
      </c>
      <c r="C6" s="5">
        <v>12.86345776031434</v>
      </c>
      <c r="D6" s="4">
        <f>B6*(1+[3]Escalation!$B$16)^($A6-2018)</f>
        <v>1064.1918105722959</v>
      </c>
      <c r="E6" s="4">
        <f>C6*(1+[3]Escalation!$B$16)^($A6-2018)</f>
        <v>13.383141453831039</v>
      </c>
      <c r="F6" s="4"/>
      <c r="G6" s="4"/>
    </row>
    <row r="7" spans="1:7" x14ac:dyDescent="0.35">
      <c r="A7">
        <v>2021</v>
      </c>
      <c r="B7" s="5">
        <v>1012.1266876093067</v>
      </c>
      <c r="C7" s="5">
        <v>12.86345776031434</v>
      </c>
      <c r="D7" s="4">
        <f>B7*(1+[3]Escalation!$B$16)^($A7-2018)</f>
        <v>1074.0769379044971</v>
      </c>
      <c r="E7" s="4">
        <f>C7*(1+[3]Escalation!$B$16)^($A7-2018)</f>
        <v>13.650804282907659</v>
      </c>
      <c r="F7" s="4"/>
      <c r="G7" s="4"/>
    </row>
    <row r="8" spans="1:7" x14ac:dyDescent="0.35">
      <c r="A8">
        <v>2022</v>
      </c>
      <c r="B8" s="5">
        <v>1001.3854296473945</v>
      </c>
      <c r="C8" s="5">
        <v>12.86345776031434</v>
      </c>
      <c r="D8" s="4">
        <f>B8*(1+[3]Escalation!$B$16)^($A8-2018)</f>
        <v>1083.9317936057573</v>
      </c>
      <c r="E8" s="4">
        <f>C8*(1+[3]Escalation!$B$16)^($A8-2018)</f>
        <v>13.923820368565814</v>
      </c>
      <c r="F8" s="4"/>
      <c r="G8" s="4"/>
    </row>
    <row r="9" spans="1:7" x14ac:dyDescent="0.35">
      <c r="A9">
        <v>2023</v>
      </c>
      <c r="B9" s="5">
        <v>990.64417168548232</v>
      </c>
      <c r="C9" s="5">
        <v>12.86345776031434</v>
      </c>
      <c r="D9" s="4">
        <f>B9*(1+[3]Escalation!$B$16)^($A9-2018)</f>
        <v>1093.7512127599061</v>
      </c>
      <c r="E9" s="4">
        <f>C9*(1+[3]Escalation!$B$16)^($A9-2018)</f>
        <v>14.20229677593713</v>
      </c>
      <c r="F9" s="4"/>
      <c r="G9" s="4"/>
    </row>
    <row r="10" spans="1:7" x14ac:dyDescent="0.35">
      <c r="A10">
        <v>2024</v>
      </c>
      <c r="B10" s="5">
        <v>977.02732098375998</v>
      </c>
      <c r="C10" s="5">
        <v>12.86345776031434</v>
      </c>
      <c r="D10" s="4">
        <f>B10*(1+[3]Escalation!$B$16)^($A10-2018)</f>
        <v>1100.2914514860959</v>
      </c>
      <c r="E10" s="4">
        <f>C10*(1+[3]Escalation!$B$16)^($A10-2018)</f>
        <v>14.486342711455872</v>
      </c>
      <c r="F10" s="4"/>
      <c r="G10" s="4"/>
    </row>
    <row r="11" spans="1:7" x14ac:dyDescent="0.35">
      <c r="A11">
        <v>2025</v>
      </c>
      <c r="B11" s="5">
        <v>967.27047347722987</v>
      </c>
      <c r="C11" s="5">
        <v>12.86345776031434</v>
      </c>
      <c r="D11" s="4">
        <f>B11*(1+[3]Escalation!$B$16)^($A11-2018)</f>
        <v>1111.0897296236269</v>
      </c>
      <c r="E11" s="4">
        <f>C11*(1+[3]Escalation!$B$16)^($A11-2018)</f>
        <v>14.776069565684987</v>
      </c>
      <c r="F11" s="4"/>
      <c r="G11" s="4"/>
    </row>
    <row r="12" spans="1:7" x14ac:dyDescent="0.35">
      <c r="A12">
        <v>2026</v>
      </c>
      <c r="B12" s="5">
        <v>961.49910853923427</v>
      </c>
      <c r="C12" s="5">
        <v>12.86345776031434</v>
      </c>
      <c r="D12" s="4">
        <f>B12*(1+[3]Escalation!$B$16)^($A12-2018)</f>
        <v>1126.5494503453094</v>
      </c>
      <c r="E12" s="4">
        <f>C12*(1+[3]Escalation!$B$16)^($A12-2018)</f>
        <v>15.071590956998689</v>
      </c>
      <c r="F12" s="4"/>
      <c r="G12" s="4"/>
    </row>
    <row r="13" spans="1:7" x14ac:dyDescent="0.35">
      <c r="A13">
        <v>2027</v>
      </c>
      <c r="B13" s="5">
        <v>955.1559035363282</v>
      </c>
      <c r="C13" s="5">
        <v>12.86345776031434</v>
      </c>
      <c r="D13" s="4">
        <f>B13*(1+[3]Escalation!$B$16)^($A13-2018)</f>
        <v>1141.4997221919946</v>
      </c>
      <c r="E13" s="4">
        <f>C13*(1+[3]Escalation!$B$16)^($A13-2018)</f>
        <v>15.373022776138662</v>
      </c>
      <c r="F13" s="4"/>
      <c r="G13" s="4"/>
    </row>
    <row r="14" spans="1:7" x14ac:dyDescent="0.35">
      <c r="A14">
        <v>2028</v>
      </c>
      <c r="B14" s="5">
        <v>950.91529711319595</v>
      </c>
      <c r="C14" s="24">
        <v>12.86345776031434</v>
      </c>
      <c r="D14" s="4">
        <f>B14*(1+[3]Escalation!$B$16)^($A14-2018)</f>
        <v>1159.1604410686425</v>
      </c>
      <c r="E14" s="4">
        <f>C14*(1+[3]Escalation!$B$16)^($A14-2018)</f>
        <v>15.680483231661436</v>
      </c>
      <c r="F14" s="4"/>
      <c r="G14" s="4"/>
    </row>
    <row r="15" spans="1:7" x14ac:dyDescent="0.35">
      <c r="A15">
        <v>2029</v>
      </c>
      <c r="B15" s="5">
        <v>947.82483506430754</v>
      </c>
      <c r="C15" s="5">
        <v>12.86345776031434</v>
      </c>
      <c r="D15" s="4">
        <f>B15*(1+[3]Escalation!$B$16)^($A15-2018)</f>
        <v>1178.5010487773584</v>
      </c>
      <c r="E15" s="4">
        <f>C15*(1+[3]Escalation!$B$16)^($A15-2018)</f>
        <v>15.994092896294662</v>
      </c>
      <c r="F15" s="12">
        <f>D15/D14-1</f>
        <v>1.6685013586976494E-2</v>
      </c>
      <c r="G15" s="12">
        <f>E15/E14-1</f>
        <v>1.9999999999999796E-2</v>
      </c>
    </row>
    <row r="16" spans="1:7" x14ac:dyDescent="0.35">
      <c r="A16">
        <v>2030</v>
      </c>
      <c r="B16" s="5">
        <v>943.50449210614954</v>
      </c>
      <c r="C16" s="5">
        <v>12.86345776031434</v>
      </c>
      <c r="D16" s="4">
        <f>B16*(1+[3]Escalation!$B$16)^($A16-2018)</f>
        <v>1196.5918302465259</v>
      </c>
      <c r="E16" s="4">
        <f>C16*(1+[3]Escalation!$B$16)^($A16-2018)</f>
        <v>16.313974754220556</v>
      </c>
      <c r="F16" s="12">
        <f t="shared" ref="F16:F36" si="0">D16/D15-1</f>
        <v>1.5350670657387822E-2</v>
      </c>
      <c r="G16" s="12">
        <f t="shared" ref="G16:G36" si="1">E16/E15-1</f>
        <v>2.0000000000000018E-2</v>
      </c>
    </row>
    <row r="17" spans="1:7" x14ac:dyDescent="0.35">
      <c r="A17">
        <v>2031</v>
      </c>
      <c r="B17" s="5">
        <v>939.7471895579522</v>
      </c>
      <c r="C17" s="5">
        <v>12.86345776031434</v>
      </c>
      <c r="D17" s="4">
        <f>B17*(1+[3]Escalation!$B$16)^($A17-2018)</f>
        <v>1215.6631953624874</v>
      </c>
      <c r="E17" s="4">
        <f>C17*(1+[3]Escalation!$B$16)^($A17-2018)</f>
        <v>16.640254249304967</v>
      </c>
      <c r="F17" s="12">
        <f t="shared" si="0"/>
        <v>1.5938070638533697E-2</v>
      </c>
      <c r="G17" s="12">
        <f t="shared" si="1"/>
        <v>2.0000000000000018E-2</v>
      </c>
    </row>
    <row r="18" spans="1:7" x14ac:dyDescent="0.35">
      <c r="A18">
        <v>2032</v>
      </c>
      <c r="B18" s="5">
        <v>935.69849211526503</v>
      </c>
      <c r="C18" s="5">
        <v>12.86345776031434</v>
      </c>
      <c r="D18" s="4">
        <f>B18*(1+[3]Escalation!$B$16)^($A18-2018)</f>
        <v>1234.6342889760444</v>
      </c>
      <c r="E18" s="4">
        <f>C18*(1+[3]Escalation!$B$16)^($A18-2018)</f>
        <v>16.973059334291069</v>
      </c>
      <c r="F18" s="12">
        <f t="shared" si="0"/>
        <v>1.5605550687006087E-2</v>
      </c>
      <c r="G18" s="12">
        <f t="shared" si="1"/>
        <v>2.000000000000024E-2</v>
      </c>
    </row>
    <row r="19" spans="1:7" x14ac:dyDescent="0.35">
      <c r="A19">
        <v>2033</v>
      </c>
      <c r="B19" s="5">
        <v>931.16105871686943</v>
      </c>
      <c r="C19" s="5">
        <v>12.86345776031434</v>
      </c>
      <c r="D19" s="4">
        <f>B19*(1+[3]Escalation!$B$16)^($A19-2018)</f>
        <v>1253.2201868074101</v>
      </c>
      <c r="E19" s="4">
        <f>C19*(1+[3]Escalation!$B$16)^($A19-2018)</f>
        <v>17.312520520976886</v>
      </c>
      <c r="F19" s="12">
        <f t="shared" si="0"/>
        <v>1.505376774103695E-2</v>
      </c>
      <c r="G19" s="12">
        <f t="shared" si="1"/>
        <v>1.9999999999999796E-2</v>
      </c>
    </row>
    <row r="20" spans="1:7" x14ac:dyDescent="0.35">
      <c r="A20">
        <v>2034</v>
      </c>
      <c r="B20" s="5">
        <v>927.89863841394663</v>
      </c>
      <c r="C20" s="5">
        <v>12.86345776031434</v>
      </c>
      <c r="D20" s="4">
        <f>B20*(1+[3]Escalation!$B$16)^($A20-2018)</f>
        <v>1273.8059865877085</v>
      </c>
      <c r="E20" s="4">
        <f>C20*(1+[3]Escalation!$B$16)^($A20-2018)</f>
        <v>17.658770931396425</v>
      </c>
      <c r="F20" s="12">
        <f t="shared" si="0"/>
        <v>1.6426323160929179E-2</v>
      </c>
      <c r="G20" s="12">
        <f t="shared" si="1"/>
        <v>2.0000000000000018E-2</v>
      </c>
    </row>
    <row r="21" spans="1:7" x14ac:dyDescent="0.35">
      <c r="A21">
        <v>2035</v>
      </c>
      <c r="B21" s="5">
        <v>925.30020810524968</v>
      </c>
      <c r="C21" s="5">
        <v>12.86345776031434</v>
      </c>
      <c r="D21" s="4">
        <f>B21*(1+[3]Escalation!$B$16)^($A21-2018)</f>
        <v>1295.6436765763403</v>
      </c>
      <c r="E21" s="4">
        <f>C21*(1+[3]Escalation!$B$16)^($A21-2018)</f>
        <v>18.011946350024356</v>
      </c>
      <c r="F21" s="12">
        <f t="shared" si="0"/>
        <v>1.7143654699826705E-2</v>
      </c>
      <c r="G21" s="12">
        <f t="shared" si="1"/>
        <v>2.0000000000000018E-2</v>
      </c>
    </row>
    <row r="22" spans="1:7" x14ac:dyDescent="0.35">
      <c r="A22">
        <v>2036</v>
      </c>
      <c r="B22" s="5">
        <v>921.69255445756551</v>
      </c>
      <c r="C22" s="5">
        <v>12.86345776031434</v>
      </c>
      <c r="D22" s="4">
        <f>B22*(1+[3]Escalation!$B$16)^($A22-2018)</f>
        <v>1316.4039323230074</v>
      </c>
      <c r="E22" s="4">
        <f>C22*(1+[3]Escalation!$B$16)^($A22-2018)</f>
        <v>18.37218527702484</v>
      </c>
      <c r="F22" s="12">
        <f t="shared" si="0"/>
        <v>1.6023121265504647E-2</v>
      </c>
      <c r="G22" s="12">
        <f t="shared" si="1"/>
        <v>1.9999999999999796E-2</v>
      </c>
    </row>
    <row r="23" spans="1:7" x14ac:dyDescent="0.35">
      <c r="A23">
        <v>2037</v>
      </c>
      <c r="B23" s="5">
        <v>919.43124245218621</v>
      </c>
      <c r="C23" s="5">
        <v>12.86345776031434</v>
      </c>
      <c r="D23" s="4">
        <f>B23*(1+[3]Escalation!$B$16)^($A23-2018)</f>
        <v>1339.4377063754596</v>
      </c>
      <c r="E23" s="4">
        <f>C23*(1+[3]Escalation!$B$16)^($A23-2018)</f>
        <v>18.739628982565339</v>
      </c>
      <c r="F23" s="12">
        <f t="shared" si="0"/>
        <v>1.7497497148770469E-2</v>
      </c>
      <c r="G23" s="12">
        <f t="shared" si="1"/>
        <v>2.0000000000000018E-2</v>
      </c>
    </row>
    <row r="24" spans="1:7" x14ac:dyDescent="0.35">
      <c r="A24">
        <v>2038</v>
      </c>
      <c r="B24" s="5">
        <v>916.82183458620239</v>
      </c>
      <c r="C24" s="5">
        <v>12.86345776031434</v>
      </c>
      <c r="D24" s="4">
        <f>B24*(1+[3]Escalation!$B$16)^($A24-2018)</f>
        <v>1362.3490176794649</v>
      </c>
      <c r="E24" s="4">
        <f>C24*(1+[3]Escalation!$B$16)^($A24-2018)</f>
        <v>19.114421562216645</v>
      </c>
      <c r="F24" s="12">
        <f t="shared" si="0"/>
        <v>1.7105171218453785E-2</v>
      </c>
      <c r="G24" s="12">
        <f t="shared" si="1"/>
        <v>2.0000000000000018E-2</v>
      </c>
    </row>
    <row r="25" spans="1:7" x14ac:dyDescent="0.35">
      <c r="A25">
        <v>2039</v>
      </c>
      <c r="B25" s="5">
        <v>913.49820139030521</v>
      </c>
      <c r="C25" s="5">
        <v>12.86345776031434</v>
      </c>
      <c r="D25" s="4">
        <f>B25*(1+[3]Escalation!$B$16)^($A25-2018)</f>
        <v>1384.5584790585708</v>
      </c>
      <c r="E25" s="4">
        <f>C25*(1+[3]Escalation!$B$16)^($A25-2018)</f>
        <v>19.496709993460978</v>
      </c>
      <c r="F25" s="12">
        <f t="shared" si="0"/>
        <v>1.6302328618356565E-2</v>
      </c>
      <c r="G25" s="12">
        <f t="shared" si="1"/>
        <v>2.0000000000000018E-2</v>
      </c>
    </row>
    <row r="26" spans="1:7" x14ac:dyDescent="0.35">
      <c r="A26">
        <v>2040</v>
      </c>
      <c r="B26" s="5">
        <v>909.99852808737489</v>
      </c>
      <c r="C26" s="5">
        <v>12.86345776031434</v>
      </c>
      <c r="D26" s="4">
        <f>B26*(1+[3]Escalation!$B$16)^($A26-2018)</f>
        <v>1406.8392248590549</v>
      </c>
      <c r="E26" s="4">
        <f>C26*(1+[3]Escalation!$B$16)^($A26-2018)</f>
        <v>19.886644193330199</v>
      </c>
      <c r="F26" s="12">
        <f t="shared" si="0"/>
        <v>1.6092311113961699E-2</v>
      </c>
      <c r="G26" s="12">
        <f t="shared" si="1"/>
        <v>2.0000000000000018E-2</v>
      </c>
    </row>
    <row r="27" spans="1:7" x14ac:dyDescent="0.35">
      <c r="A27">
        <v>2041</v>
      </c>
      <c r="B27" s="5">
        <v>908.09217433427568</v>
      </c>
      <c r="C27" s="5">
        <v>12.86345776031434</v>
      </c>
      <c r="D27" s="4">
        <f>B27*(1+[3]Escalation!$B$16)^($A27-2018)</f>
        <v>1431.9698815256852</v>
      </c>
      <c r="E27" s="4">
        <f>C27*(1+[3]Escalation!$B$16)^($A27-2018)</f>
        <v>20.284377077196798</v>
      </c>
      <c r="F27" s="12">
        <f t="shared" si="0"/>
        <v>1.7863204424903634E-2</v>
      </c>
      <c r="G27" s="12">
        <f t="shared" si="1"/>
        <v>1.9999999999999796E-2</v>
      </c>
    </row>
    <row r="28" spans="1:7" x14ac:dyDescent="0.35">
      <c r="A28">
        <v>2042</v>
      </c>
      <c r="B28" s="5">
        <v>904.93656014479313</v>
      </c>
      <c r="C28" s="5">
        <v>12.86345776031434</v>
      </c>
      <c r="D28" s="4">
        <f>B28*(1+[3]Escalation!$B$16)^($A28-2018)</f>
        <v>1455.5336717488626</v>
      </c>
      <c r="E28" s="4">
        <f>C28*(1+[3]Escalation!$B$16)^($A28-2018)</f>
        <v>20.690064618740735</v>
      </c>
      <c r="F28" s="12">
        <f t="shared" si="0"/>
        <v>1.6455506870068692E-2</v>
      </c>
      <c r="G28" s="12">
        <f t="shared" si="1"/>
        <v>2.0000000000000018E-2</v>
      </c>
    </row>
    <row r="29" spans="1:7" x14ac:dyDescent="0.35">
      <c r="A29">
        <v>2043</v>
      </c>
      <c r="B29" s="5">
        <v>902.40290852574435</v>
      </c>
      <c r="C29" s="5">
        <v>12.86345776031434</v>
      </c>
      <c r="D29" s="4">
        <f>B29*(1+[3]Escalation!$B$16)^($A29-2018)</f>
        <v>1480.4876211497433</v>
      </c>
      <c r="E29" s="4">
        <f>C29*(1+[3]Escalation!$B$16)^($A29-2018)</f>
        <v>21.103865911115552</v>
      </c>
      <c r="F29" s="12">
        <f t="shared" si="0"/>
        <v>1.7144192460280205E-2</v>
      </c>
      <c r="G29" s="12">
        <f t="shared" si="1"/>
        <v>2.0000000000000018E-2</v>
      </c>
    </row>
    <row r="30" spans="1:7" x14ac:dyDescent="0.35">
      <c r="A30">
        <v>2044</v>
      </c>
      <c r="B30" s="5">
        <v>899.82669989357407</v>
      </c>
      <c r="C30" s="5">
        <v>12.86345776031434</v>
      </c>
      <c r="D30" s="4">
        <f>B30*(1+[3]Escalation!$B$16)^($A30-2018)</f>
        <v>1505.7862993813092</v>
      </c>
      <c r="E30" s="4">
        <f>C30*(1+[3]Escalation!$B$16)^($A30-2018)</f>
        <v>21.525943229337862</v>
      </c>
      <c r="F30" s="12">
        <f t="shared" si="0"/>
        <v>1.7088071436841101E-2</v>
      </c>
      <c r="G30" s="12">
        <f t="shared" si="1"/>
        <v>2.0000000000000018E-2</v>
      </c>
    </row>
    <row r="31" spans="1:7" x14ac:dyDescent="0.35">
      <c r="A31">
        <v>2045</v>
      </c>
      <c r="B31" s="5">
        <v>897.75598945796503</v>
      </c>
      <c r="C31" s="5">
        <v>12.86345776031434</v>
      </c>
      <c r="D31" s="4">
        <f>B31*(1+[3]Escalation!$B$16)^($A31-2018)</f>
        <v>1532.3675577293545</v>
      </c>
      <c r="E31" s="4">
        <f>C31*(1+[3]Escalation!$B$16)^($A31-2018)</f>
        <v>21.956462093924618</v>
      </c>
      <c r="F31" s="12">
        <f t="shared" si="0"/>
        <v>1.7652742861963278E-2</v>
      </c>
      <c r="G31" s="12">
        <f t="shared" si="1"/>
        <v>2.0000000000000018E-2</v>
      </c>
    </row>
    <row r="32" spans="1:7" x14ac:dyDescent="0.35">
      <c r="A32">
        <v>2046</v>
      </c>
      <c r="B32" s="5">
        <v>894.04791383765564</v>
      </c>
      <c r="C32" s="5">
        <v>12.86345776031434</v>
      </c>
      <c r="D32" s="4">
        <f>B32*(1+[3]Escalation!$B$16)^($A32-2018)</f>
        <v>1556.5590594706598</v>
      </c>
      <c r="E32" s="4">
        <f>C32*(1+[3]Escalation!$B$16)^($A32-2018)</f>
        <v>22.395591335803115</v>
      </c>
      <c r="F32" s="12">
        <f t="shared" si="0"/>
        <v>1.5787009858882595E-2</v>
      </c>
      <c r="G32" s="12">
        <f t="shared" si="1"/>
        <v>2.000000000000024E-2</v>
      </c>
    </row>
    <row r="33" spans="1:7" x14ac:dyDescent="0.35">
      <c r="A33">
        <v>2047</v>
      </c>
      <c r="B33" s="5">
        <v>891.52055069928633</v>
      </c>
      <c r="C33" s="5">
        <v>12.86345776031434</v>
      </c>
      <c r="D33" s="4">
        <f>B33*(1+[3]Escalation!$B$16)^($A33-2018)</f>
        <v>1583.2020362503463</v>
      </c>
      <c r="E33" s="4">
        <f>C33*(1+[3]Escalation!$B$16)^($A33-2018)</f>
        <v>22.843503162519173</v>
      </c>
      <c r="F33" s="12">
        <f t="shared" si="0"/>
        <v>1.7116585854922262E-2</v>
      </c>
      <c r="G33" s="12">
        <f t="shared" si="1"/>
        <v>1.9999999999999796E-2</v>
      </c>
    </row>
    <row r="34" spans="1:7" x14ac:dyDescent="0.35">
      <c r="A34">
        <v>2048</v>
      </c>
      <c r="B34" s="5">
        <v>888.95627005117035</v>
      </c>
      <c r="C34" s="5">
        <v>12.86345776031434</v>
      </c>
      <c r="D34" s="4">
        <f>B34*(1+[3]Escalation!$B$16)^($A34-2018)</f>
        <v>1610.2212375184963</v>
      </c>
      <c r="E34" s="4">
        <f>C34*(1+[3]Escalation!$B$16)^($A34-2018)</f>
        <v>23.300373225769558</v>
      </c>
      <c r="F34" s="12">
        <f t="shared" si="0"/>
        <v>1.7066173899158432E-2</v>
      </c>
      <c r="G34" s="12">
        <f t="shared" si="1"/>
        <v>2.0000000000000018E-2</v>
      </c>
    </row>
    <row r="35" spans="1:7" x14ac:dyDescent="0.35">
      <c r="A35">
        <v>2049</v>
      </c>
      <c r="B35" s="5">
        <v>886.37346480869405</v>
      </c>
      <c r="C35" s="5">
        <v>12.86345776031434</v>
      </c>
      <c r="D35" s="4">
        <f>B35*(1+[3]Escalation!$B$16)^($A35-2018)</f>
        <v>1637.6537001895149</v>
      </c>
      <c r="E35" s="4">
        <f>C35*(1+[3]Escalation!$B$16)^($A35-2018)</f>
        <v>23.766380690284944</v>
      </c>
      <c r="F35" s="12">
        <f t="shared" si="0"/>
        <v>1.703645563220535E-2</v>
      </c>
      <c r="G35" s="12">
        <f t="shared" si="1"/>
        <v>1.9999999999999796E-2</v>
      </c>
    </row>
    <row r="36" spans="1:7" x14ac:dyDescent="0.35">
      <c r="A36">
        <v>2050</v>
      </c>
      <c r="B36" s="5">
        <v>876.15764824061614</v>
      </c>
      <c r="C36" s="5">
        <v>12.86345776031434</v>
      </c>
      <c r="D36" s="4">
        <f>B36*(1+[3]Escalation!$B$16)^($A36-2018)</f>
        <v>1651.1546531893034</v>
      </c>
      <c r="E36" s="4">
        <f>C36*(1+[3]Escalation!$B$16)^($A36-2018)</f>
        <v>24.241708304090647</v>
      </c>
      <c r="F36" s="12">
        <f t="shared" si="0"/>
        <v>8.2440829817842509E-3</v>
      </c>
      <c r="G36" s="12">
        <f t="shared" si="1"/>
        <v>2.000000000000024E-2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7480F-B30D-460B-8A8A-06F323DF53F2}">
  <dimension ref="A1:BI165"/>
  <sheetViews>
    <sheetView zoomScaleNormal="100" workbookViewId="0">
      <pane ySplit="2" topLeftCell="A3" activePane="bottomLeft" state="frozen"/>
      <selection activeCell="A47" sqref="A47:XFD143"/>
      <selection pane="bottomLeft" activeCell="K3" sqref="K3:AX3"/>
    </sheetView>
  </sheetViews>
  <sheetFormatPr defaultRowHeight="14.5" x14ac:dyDescent="0.35"/>
  <cols>
    <col min="1" max="1" width="39.453125" bestFit="1" customWidth="1"/>
    <col min="2" max="2" width="23.54296875" customWidth="1"/>
    <col min="9" max="9" width="9.54296875" customWidth="1"/>
    <col min="11" max="51" width="8.7265625" customWidth="1"/>
  </cols>
  <sheetData>
    <row r="1" spans="1:61" x14ac:dyDescent="0.35">
      <c r="A1" s="4"/>
      <c r="C1" s="13" t="s">
        <v>15</v>
      </c>
      <c r="K1" s="22"/>
      <c r="O1" s="4"/>
    </row>
    <row r="2" spans="1:61" x14ac:dyDescent="0.35">
      <c r="A2" t="s">
        <v>6</v>
      </c>
      <c r="B2" t="s">
        <v>5</v>
      </c>
      <c r="C2">
        <f t="shared" ref="C2:I2" si="0">D2-1</f>
        <v>-8</v>
      </c>
      <c r="D2">
        <f t="shared" si="0"/>
        <v>-7</v>
      </c>
      <c r="E2">
        <f t="shared" si="0"/>
        <v>-6</v>
      </c>
      <c r="F2">
        <f t="shared" si="0"/>
        <v>-5</v>
      </c>
      <c r="G2">
        <f t="shared" si="0"/>
        <v>-4</v>
      </c>
      <c r="H2">
        <f t="shared" si="0"/>
        <v>-3</v>
      </c>
      <c r="I2">
        <f t="shared" si="0"/>
        <v>-2</v>
      </c>
      <c r="J2">
        <f>K2-1</f>
        <v>-1</v>
      </c>
      <c r="K2" s="1">
        <v>0</v>
      </c>
      <c r="L2">
        <f>K2+1</f>
        <v>1</v>
      </c>
      <c r="M2">
        <f t="shared" ref="M2:AY2" si="1">L2+1</f>
        <v>2</v>
      </c>
      <c r="N2">
        <f t="shared" si="1"/>
        <v>3</v>
      </c>
      <c r="O2">
        <f t="shared" si="1"/>
        <v>4</v>
      </c>
      <c r="P2">
        <f t="shared" si="1"/>
        <v>5</v>
      </c>
      <c r="Q2">
        <f t="shared" si="1"/>
        <v>6</v>
      </c>
      <c r="R2">
        <f t="shared" si="1"/>
        <v>7</v>
      </c>
      <c r="S2">
        <f t="shared" si="1"/>
        <v>8</v>
      </c>
      <c r="T2">
        <f t="shared" si="1"/>
        <v>9</v>
      </c>
      <c r="U2">
        <f t="shared" si="1"/>
        <v>10</v>
      </c>
      <c r="V2">
        <f t="shared" si="1"/>
        <v>11</v>
      </c>
      <c r="W2">
        <f t="shared" si="1"/>
        <v>12</v>
      </c>
      <c r="X2">
        <f t="shared" si="1"/>
        <v>13</v>
      </c>
      <c r="Y2">
        <f t="shared" si="1"/>
        <v>14</v>
      </c>
      <c r="Z2">
        <f t="shared" si="1"/>
        <v>15</v>
      </c>
      <c r="AA2">
        <f t="shared" si="1"/>
        <v>16</v>
      </c>
      <c r="AB2">
        <f t="shared" si="1"/>
        <v>17</v>
      </c>
      <c r="AC2">
        <f t="shared" si="1"/>
        <v>18</v>
      </c>
      <c r="AD2">
        <f t="shared" si="1"/>
        <v>19</v>
      </c>
      <c r="AE2">
        <f t="shared" si="1"/>
        <v>20</v>
      </c>
      <c r="AF2">
        <f t="shared" si="1"/>
        <v>21</v>
      </c>
      <c r="AG2">
        <f t="shared" si="1"/>
        <v>22</v>
      </c>
      <c r="AH2">
        <f t="shared" si="1"/>
        <v>23</v>
      </c>
      <c r="AI2">
        <f t="shared" si="1"/>
        <v>24</v>
      </c>
      <c r="AJ2">
        <f t="shared" si="1"/>
        <v>25</v>
      </c>
      <c r="AK2">
        <f t="shared" si="1"/>
        <v>26</v>
      </c>
      <c r="AL2">
        <f t="shared" si="1"/>
        <v>27</v>
      </c>
      <c r="AM2">
        <f t="shared" si="1"/>
        <v>28</v>
      </c>
      <c r="AN2">
        <f t="shared" si="1"/>
        <v>29</v>
      </c>
      <c r="AO2">
        <f t="shared" si="1"/>
        <v>30</v>
      </c>
      <c r="AP2">
        <f t="shared" si="1"/>
        <v>31</v>
      </c>
      <c r="AQ2">
        <f t="shared" si="1"/>
        <v>32</v>
      </c>
      <c r="AR2">
        <f t="shared" si="1"/>
        <v>33</v>
      </c>
      <c r="AS2">
        <f t="shared" si="1"/>
        <v>34</v>
      </c>
      <c r="AT2">
        <f t="shared" si="1"/>
        <v>35</v>
      </c>
      <c r="AU2">
        <f t="shared" si="1"/>
        <v>36</v>
      </c>
      <c r="AV2">
        <f t="shared" si="1"/>
        <v>37</v>
      </c>
      <c r="AW2">
        <f t="shared" si="1"/>
        <v>38</v>
      </c>
      <c r="AX2">
        <f t="shared" si="1"/>
        <v>39</v>
      </c>
      <c r="AY2">
        <f t="shared" si="1"/>
        <v>40</v>
      </c>
      <c r="AZ2">
        <f t="shared" ref="AZ2" si="2">AY2+1</f>
        <v>41</v>
      </c>
      <c r="BA2">
        <f t="shared" ref="BA2" si="3">AZ2+1</f>
        <v>42</v>
      </c>
      <c r="BB2">
        <f t="shared" ref="BB2" si="4">BA2+1</f>
        <v>43</v>
      </c>
      <c r="BC2">
        <f t="shared" ref="BC2" si="5">BB2+1</f>
        <v>44</v>
      </c>
      <c r="BD2">
        <f t="shared" ref="BD2" si="6">BC2+1</f>
        <v>45</v>
      </c>
      <c r="BE2">
        <f t="shared" ref="BE2" si="7">BD2+1</f>
        <v>46</v>
      </c>
      <c r="BF2">
        <f t="shared" ref="BF2" si="8">BE2+1</f>
        <v>47</v>
      </c>
      <c r="BG2">
        <f t="shared" ref="BG2" si="9">BF2+1</f>
        <v>48</v>
      </c>
      <c r="BH2">
        <f t="shared" ref="BH2" si="10">BG2+1</f>
        <v>49</v>
      </c>
    </row>
    <row r="3" spans="1:61" x14ac:dyDescent="0.35">
      <c r="A3" s="1" t="s">
        <v>46</v>
      </c>
      <c r="B3" s="7"/>
      <c r="C3" s="8"/>
      <c r="D3" s="1"/>
      <c r="E3" s="1"/>
      <c r="F3" s="1"/>
      <c r="G3" s="1"/>
      <c r="H3" s="1"/>
      <c r="I3" s="1"/>
      <c r="J3" s="16"/>
      <c r="K3" s="17">
        <v>0.11362806259351381</v>
      </c>
      <c r="L3" s="17">
        <v>0.11085765100996292</v>
      </c>
      <c r="M3" s="17">
        <v>0.10760900527116969</v>
      </c>
      <c r="N3" s="17">
        <v>0.10447720954596121</v>
      </c>
      <c r="O3" s="17">
        <v>0.10145351690433779</v>
      </c>
      <c r="P3" s="17">
        <v>9.852985325706913E-2</v>
      </c>
      <c r="Q3" s="17">
        <v>9.5698705215565671E-2</v>
      </c>
      <c r="R3" s="17">
        <v>9.2953120091879129E-2</v>
      </c>
      <c r="S3" s="17">
        <v>9.0255306662805873E-2</v>
      </c>
      <c r="T3" s="17">
        <v>8.7564333781552844E-2</v>
      </c>
      <c r="U3" s="17">
        <v>8.4874482301581858E-2</v>
      </c>
      <c r="V3" s="17">
        <v>8.2184630821610816E-2</v>
      </c>
      <c r="W3" s="17">
        <v>7.9493657940357787E-2</v>
      </c>
      <c r="X3" s="17">
        <v>7.6802685059104786E-2</v>
      </c>
      <c r="Y3" s="17">
        <v>7.4111712177851757E-2</v>
      </c>
      <c r="Z3" s="17">
        <v>7.1420739296598743E-2</v>
      </c>
      <c r="AA3" s="17">
        <v>6.8729766415345714E-2</v>
      </c>
      <c r="AB3" s="17">
        <v>6.6038793534092713E-2</v>
      </c>
      <c r="AC3" s="17">
        <v>6.3347820652839684E-2</v>
      </c>
      <c r="AD3" s="17">
        <v>6.0656847771586662E-2</v>
      </c>
      <c r="AE3" s="17">
        <v>5.8214938115066568E-2</v>
      </c>
      <c r="AF3" s="16">
        <v>5.6273285570448119E-2</v>
      </c>
      <c r="AG3" s="16">
        <v>5.4582939053126604E-2</v>
      </c>
      <c r="AH3" s="16">
        <v>5.2892592535805083E-2</v>
      </c>
      <c r="AI3" s="16">
        <v>5.1202246018483569E-2</v>
      </c>
      <c r="AJ3" s="16">
        <v>4.9511899501162041E-2</v>
      </c>
      <c r="AK3" s="16">
        <v>4.7821552983840519E-2</v>
      </c>
      <c r="AL3" s="16">
        <v>4.6131206466518998E-2</v>
      </c>
      <c r="AM3" s="16">
        <v>4.4440859949197484E-2</v>
      </c>
      <c r="AN3" s="16">
        <v>4.2750513431875962E-2</v>
      </c>
      <c r="AO3" s="16">
        <v>4.1060166914554441E-2</v>
      </c>
      <c r="AP3" s="16">
        <v>3.936982039723292E-2</v>
      </c>
      <c r="AQ3" s="16">
        <v>3.7679473879911399E-2</v>
      </c>
      <c r="AR3" s="16">
        <v>3.5989127362589884E-2</v>
      </c>
      <c r="AS3" s="16">
        <v>3.4298780845268363E-2</v>
      </c>
      <c r="AT3" s="16">
        <v>3.2608434327946842E-2</v>
      </c>
      <c r="AU3" s="16">
        <v>3.0918087810625321E-2</v>
      </c>
      <c r="AV3" s="16">
        <v>2.9227741293303799E-2</v>
      </c>
      <c r="AW3" s="16">
        <v>2.7537394775982282E-2</v>
      </c>
      <c r="AX3" s="16">
        <v>2.584704825866076E-2</v>
      </c>
      <c r="AY3" s="18"/>
    </row>
    <row r="4" spans="1:61" x14ac:dyDescent="0.35">
      <c r="A4" s="1" t="s">
        <v>0</v>
      </c>
      <c r="B4" s="19"/>
      <c r="C4" s="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</row>
    <row r="5" spans="1:61" x14ac:dyDescent="0.35">
      <c r="A5" s="1" t="s">
        <v>0</v>
      </c>
      <c r="B5" s="19"/>
      <c r="C5" s="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</row>
    <row r="6" spans="1:61" x14ac:dyDescent="0.35">
      <c r="A6" s="1" t="s">
        <v>0</v>
      </c>
      <c r="B6" s="19"/>
      <c r="C6" s="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8" spans="1:61" x14ac:dyDescent="0.35">
      <c r="H8" s="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x14ac:dyDescent="0.35">
      <c r="H9" s="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x14ac:dyDescent="0.35">
      <c r="H10" s="2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x14ac:dyDescent="0.35">
      <c r="H11" s="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x14ac:dyDescent="0.35">
      <c r="H12" s="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x14ac:dyDescent="0.35">
      <c r="H13" s="2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x14ac:dyDescent="0.35">
      <c r="H14" s="2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x14ac:dyDescent="0.35">
      <c r="H15" s="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x14ac:dyDescent="0.35">
      <c r="H16" s="2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8:61" x14ac:dyDescent="0.35">
      <c r="H17" s="2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8:61" x14ac:dyDescent="0.35">
      <c r="H18" s="2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8:61" x14ac:dyDescent="0.35">
      <c r="H19" s="2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8:61" x14ac:dyDescent="0.35">
      <c r="H20" s="2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8:61" x14ac:dyDescent="0.35">
      <c r="H21" s="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8:61" x14ac:dyDescent="0.35">
      <c r="H22" s="2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8:61" x14ac:dyDescent="0.35">
      <c r="H23" s="2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8:61" x14ac:dyDescent="0.35">
      <c r="H24" s="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8:61" x14ac:dyDescent="0.35">
      <c r="H25" s="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8:61" x14ac:dyDescent="0.35">
      <c r="H26" s="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8:61" x14ac:dyDescent="0.35">
      <c r="H27" s="2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8:61" x14ac:dyDescent="0.35">
      <c r="H28" s="2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8:61" x14ac:dyDescent="0.35">
      <c r="H29" s="2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8:61" x14ac:dyDescent="0.35">
      <c r="H30" s="2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8:61" x14ac:dyDescent="0.35">
      <c r="H31" s="2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8:61" x14ac:dyDescent="0.35">
      <c r="H32" s="2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8:61" x14ac:dyDescent="0.35">
      <c r="H33" s="2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8:61" x14ac:dyDescent="0.35">
      <c r="H34" s="2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8:61" x14ac:dyDescent="0.35">
      <c r="H35" s="2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8:61" x14ac:dyDescent="0.35">
      <c r="H36" s="2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8:61" x14ac:dyDescent="0.35">
      <c r="H37" s="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8:61" x14ac:dyDescent="0.35">
      <c r="H38" s="2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8:61" x14ac:dyDescent="0.35">
      <c r="H39" s="2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8:61" x14ac:dyDescent="0.35">
      <c r="H40" s="2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8:61" x14ac:dyDescent="0.35">
      <c r="H41" s="2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8:61" x14ac:dyDescent="0.35">
      <c r="H42" s="2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</row>
    <row r="43" spans="8:61" x14ac:dyDescent="0.35">
      <c r="H43" s="2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8:61" x14ac:dyDescent="0.35">
      <c r="H44" s="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8:61" x14ac:dyDescent="0.35">
      <c r="H45" s="2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8:61" x14ac:dyDescent="0.35">
      <c r="H46" s="2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8:61" x14ac:dyDescent="0.35">
      <c r="H47" s="2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  <row r="48" spans="8:61" x14ac:dyDescent="0.35">
      <c r="H48" s="2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  <row r="49" spans="8:61" x14ac:dyDescent="0.35">
      <c r="H49" s="2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</row>
    <row r="50" spans="8:61" x14ac:dyDescent="0.35">
      <c r="H50" s="2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</row>
    <row r="51" spans="8:61" x14ac:dyDescent="0.35">
      <c r="H51" s="2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</row>
    <row r="52" spans="8:61" x14ac:dyDescent="0.35">
      <c r="H52" s="2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</row>
    <row r="53" spans="8:61" x14ac:dyDescent="0.35">
      <c r="H53" s="2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</row>
    <row r="54" spans="8:61" x14ac:dyDescent="0.35">
      <c r="H54" s="2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</row>
    <row r="55" spans="8:61" x14ac:dyDescent="0.35">
      <c r="H55" s="2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</row>
    <row r="56" spans="8:61" x14ac:dyDescent="0.35">
      <c r="H56" s="2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</row>
    <row r="57" spans="8:61" x14ac:dyDescent="0.35">
      <c r="H57" s="2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</row>
    <row r="58" spans="8:61" x14ac:dyDescent="0.35">
      <c r="H58" s="2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</row>
    <row r="59" spans="8:61" x14ac:dyDescent="0.35">
      <c r="H59" s="2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</row>
    <row r="60" spans="8:61" x14ac:dyDescent="0.35">
      <c r="H60" s="2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</row>
    <row r="61" spans="8:61" x14ac:dyDescent="0.35">
      <c r="H61" s="2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</row>
    <row r="62" spans="8:61" x14ac:dyDescent="0.35">
      <c r="H62" s="2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</row>
    <row r="63" spans="8:61" x14ac:dyDescent="0.35">
      <c r="H63" s="2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</row>
    <row r="64" spans="8:61" x14ac:dyDescent="0.35">
      <c r="H64" s="2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</row>
    <row r="65" spans="8:61" x14ac:dyDescent="0.35">
      <c r="H65" s="2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</row>
    <row r="66" spans="8:61" x14ac:dyDescent="0.35">
      <c r="H66" s="2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</row>
    <row r="67" spans="8:61" x14ac:dyDescent="0.35">
      <c r="H67" s="2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</row>
    <row r="68" spans="8:61" x14ac:dyDescent="0.35">
      <c r="H68" s="2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</row>
    <row r="69" spans="8:61" x14ac:dyDescent="0.35">
      <c r="H69" s="2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</row>
    <row r="70" spans="8:61" x14ac:dyDescent="0.35">
      <c r="H70" s="2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</row>
    <row r="71" spans="8:61" x14ac:dyDescent="0.35">
      <c r="H71" s="2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</row>
    <row r="72" spans="8:61" x14ac:dyDescent="0.35">
      <c r="H72" s="2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</row>
    <row r="73" spans="8:61" x14ac:dyDescent="0.35">
      <c r="H73" s="2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</row>
    <row r="74" spans="8:61" x14ac:dyDescent="0.35">
      <c r="H74" s="2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</row>
    <row r="75" spans="8:61" x14ac:dyDescent="0.35">
      <c r="H75" s="2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</row>
    <row r="76" spans="8:61" x14ac:dyDescent="0.35">
      <c r="H76" s="2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</row>
    <row r="77" spans="8:61" x14ac:dyDescent="0.35">
      <c r="H77" s="2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</row>
    <row r="78" spans="8:61" x14ac:dyDescent="0.35">
      <c r="H78" s="2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</row>
    <row r="79" spans="8:61" x14ac:dyDescent="0.35">
      <c r="H79" s="2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</row>
    <row r="80" spans="8:61" x14ac:dyDescent="0.35">
      <c r="H80" s="2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</row>
    <row r="81" spans="8:61" x14ac:dyDescent="0.35">
      <c r="H81" s="2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</row>
    <row r="82" spans="8:61" x14ac:dyDescent="0.35">
      <c r="H82" s="2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</row>
    <row r="83" spans="8:61" x14ac:dyDescent="0.35">
      <c r="H83" s="2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</row>
    <row r="84" spans="8:61" x14ac:dyDescent="0.35">
      <c r="H84" s="2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</row>
    <row r="85" spans="8:61" x14ac:dyDescent="0.35">
      <c r="H85" s="2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</row>
    <row r="86" spans="8:61" x14ac:dyDescent="0.35">
      <c r="H86" s="2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</row>
    <row r="87" spans="8:61" x14ac:dyDescent="0.35">
      <c r="H87" s="2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</row>
    <row r="88" spans="8:61" x14ac:dyDescent="0.35">
      <c r="H88" s="2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</row>
    <row r="89" spans="8:61" x14ac:dyDescent="0.35">
      <c r="H89" s="2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</row>
    <row r="90" spans="8:61" x14ac:dyDescent="0.35">
      <c r="H90" s="2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</row>
    <row r="91" spans="8:61" x14ac:dyDescent="0.35">
      <c r="H91" s="2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</row>
    <row r="92" spans="8:61" x14ac:dyDescent="0.35">
      <c r="H92" s="2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</row>
    <row r="93" spans="8:61" x14ac:dyDescent="0.35">
      <c r="H93" s="2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</row>
    <row r="94" spans="8:61" x14ac:dyDescent="0.35">
      <c r="H94" s="2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</row>
    <row r="95" spans="8:61" x14ac:dyDescent="0.35">
      <c r="H95" s="2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</row>
    <row r="96" spans="8:61" x14ac:dyDescent="0.35">
      <c r="H96" s="2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</row>
    <row r="97" spans="8:61" x14ac:dyDescent="0.35">
      <c r="H97" s="2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</row>
    <row r="98" spans="8:61" x14ac:dyDescent="0.35">
      <c r="H98" s="2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</row>
    <row r="99" spans="8:61" x14ac:dyDescent="0.35">
      <c r="H99" s="2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</row>
    <row r="100" spans="8:61" x14ac:dyDescent="0.35">
      <c r="H100" s="2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</row>
    <row r="101" spans="8:61" x14ac:dyDescent="0.35">
      <c r="H101" s="2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</row>
    <row r="102" spans="8:61" x14ac:dyDescent="0.35">
      <c r="H102" s="2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</row>
    <row r="103" spans="8:61" x14ac:dyDescent="0.35">
      <c r="H103" s="2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</row>
    <row r="104" spans="8:61" x14ac:dyDescent="0.35">
      <c r="H104" s="2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</row>
    <row r="105" spans="8:61" x14ac:dyDescent="0.35">
      <c r="H105" s="2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</row>
    <row r="106" spans="8:61" x14ac:dyDescent="0.35">
      <c r="H106" s="2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</row>
    <row r="107" spans="8:61" x14ac:dyDescent="0.35">
      <c r="H107" s="2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</row>
    <row r="108" spans="8:61" x14ac:dyDescent="0.35">
      <c r="H108" s="2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</row>
    <row r="109" spans="8:61" x14ac:dyDescent="0.35">
      <c r="H109" s="2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</row>
    <row r="110" spans="8:61" x14ac:dyDescent="0.35">
      <c r="H110" s="2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</row>
    <row r="111" spans="8:61" x14ac:dyDescent="0.35">
      <c r="H111" s="2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</row>
    <row r="112" spans="8:61" x14ac:dyDescent="0.35">
      <c r="H112" s="2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</row>
    <row r="113" spans="8:61" x14ac:dyDescent="0.35">
      <c r="H113" s="2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</row>
    <row r="114" spans="8:61" x14ac:dyDescent="0.35">
      <c r="H114" s="2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</row>
    <row r="115" spans="8:61" x14ac:dyDescent="0.35">
      <c r="H115" s="2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</row>
    <row r="116" spans="8:61" x14ac:dyDescent="0.35">
      <c r="H116" s="2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</row>
    <row r="117" spans="8:61" x14ac:dyDescent="0.35">
      <c r="H117" s="2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</row>
    <row r="118" spans="8:61" x14ac:dyDescent="0.35">
      <c r="H118" s="2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</row>
    <row r="119" spans="8:61" x14ac:dyDescent="0.35">
      <c r="H119" s="2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</row>
    <row r="120" spans="8:61" x14ac:dyDescent="0.35">
      <c r="H120" s="2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</row>
    <row r="121" spans="8:61" x14ac:dyDescent="0.35">
      <c r="H121" s="2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</row>
    <row r="122" spans="8:61" x14ac:dyDescent="0.35">
      <c r="H122" s="2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</row>
    <row r="123" spans="8:61" x14ac:dyDescent="0.35">
      <c r="H123" s="2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</row>
    <row r="124" spans="8:61" x14ac:dyDescent="0.35">
      <c r="H124" s="2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</row>
    <row r="125" spans="8:61" x14ac:dyDescent="0.35">
      <c r="H125" s="2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</row>
    <row r="126" spans="8:61" x14ac:dyDescent="0.35">
      <c r="H126" s="2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</row>
    <row r="127" spans="8:61" x14ac:dyDescent="0.35">
      <c r="H127" s="2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</row>
    <row r="128" spans="8:61" x14ac:dyDescent="0.35">
      <c r="H128" s="2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</row>
    <row r="129" spans="8:61" x14ac:dyDescent="0.35">
      <c r="H129" s="2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</row>
    <row r="130" spans="8:61" x14ac:dyDescent="0.35">
      <c r="H130" s="2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</row>
    <row r="131" spans="8:61" x14ac:dyDescent="0.35">
      <c r="H131" s="2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</row>
    <row r="132" spans="8:61" x14ac:dyDescent="0.35">
      <c r="H132" s="2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</row>
    <row r="133" spans="8:61" x14ac:dyDescent="0.35">
      <c r="H133" s="2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</row>
    <row r="134" spans="8:61" x14ac:dyDescent="0.35">
      <c r="H134" s="2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</row>
    <row r="135" spans="8:61" x14ac:dyDescent="0.35">
      <c r="H135" s="2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</row>
    <row r="136" spans="8:61" x14ac:dyDescent="0.35">
      <c r="H136" s="2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</row>
    <row r="137" spans="8:61" x14ac:dyDescent="0.35">
      <c r="H137" s="2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</row>
    <row r="138" spans="8:61" x14ac:dyDescent="0.35">
      <c r="H138" s="2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</row>
    <row r="139" spans="8:61" x14ac:dyDescent="0.35">
      <c r="H139" s="2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</row>
    <row r="140" spans="8:61" x14ac:dyDescent="0.35">
      <c r="H140" s="2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</row>
    <row r="141" spans="8:61" x14ac:dyDescent="0.35">
      <c r="H141" s="2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</row>
    <row r="142" spans="8:61" x14ac:dyDescent="0.35">
      <c r="H142" s="2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</row>
    <row r="143" spans="8:61" x14ac:dyDescent="0.35">
      <c r="H143" s="2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</row>
    <row r="144" spans="8:61" x14ac:dyDescent="0.35">
      <c r="H144" s="2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</row>
    <row r="145" spans="8:61" x14ac:dyDescent="0.35">
      <c r="H145" s="2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</row>
    <row r="146" spans="8:61" x14ac:dyDescent="0.35">
      <c r="H146" s="2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</row>
    <row r="147" spans="8:61" x14ac:dyDescent="0.35">
      <c r="H147" s="2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</row>
    <row r="148" spans="8:61" x14ac:dyDescent="0.35">
      <c r="H148" s="2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</row>
    <row r="149" spans="8:61" x14ac:dyDescent="0.35">
      <c r="H149" s="2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</row>
    <row r="150" spans="8:61" x14ac:dyDescent="0.35">
      <c r="H150" s="2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</row>
    <row r="151" spans="8:61" x14ac:dyDescent="0.35">
      <c r="H151" s="2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</row>
    <row r="152" spans="8:61" x14ac:dyDescent="0.35">
      <c r="H152" s="2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</row>
    <row r="153" spans="8:61" x14ac:dyDescent="0.35">
      <c r="H153" s="2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</row>
    <row r="154" spans="8:61" x14ac:dyDescent="0.35">
      <c r="H154" s="2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</row>
    <row r="155" spans="8:61" x14ac:dyDescent="0.35">
      <c r="H155" s="2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</row>
    <row r="156" spans="8:61" x14ac:dyDescent="0.35">
      <c r="H156" s="2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</row>
    <row r="157" spans="8:61" x14ac:dyDescent="0.35">
      <c r="H157" s="2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</row>
    <row r="158" spans="8:61" x14ac:dyDescent="0.35">
      <c r="H158" s="2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</row>
    <row r="159" spans="8:61" x14ac:dyDescent="0.35">
      <c r="H159" s="2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</row>
    <row r="160" spans="8:61" x14ac:dyDescent="0.35">
      <c r="H160" s="2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</row>
    <row r="161" spans="8:51" x14ac:dyDescent="0.35">
      <c r="H161" s="2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</row>
    <row r="162" spans="8:51" x14ac:dyDescent="0.35">
      <c r="H162" s="2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</row>
    <row r="163" spans="8:51" x14ac:dyDescent="0.35">
      <c r="H163" s="2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</row>
    <row r="164" spans="8:51" x14ac:dyDescent="0.35">
      <c r="H164" s="2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</row>
    <row r="165" spans="8:51" x14ac:dyDescent="0.35">
      <c r="H165" s="2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4E310-FD67-48B2-863F-E18257A0E2F2}">
  <dimension ref="A1:H50"/>
  <sheetViews>
    <sheetView workbookViewId="0">
      <selection activeCell="D11" sqref="D11"/>
    </sheetView>
  </sheetViews>
  <sheetFormatPr defaultRowHeight="14.5" x14ac:dyDescent="0.35"/>
  <cols>
    <col min="1" max="1" width="15.453125" bestFit="1" customWidth="1"/>
  </cols>
  <sheetData>
    <row r="1" spans="1:8" x14ac:dyDescent="0.35">
      <c r="A1" t="s">
        <v>1</v>
      </c>
      <c r="B1" s="9">
        <v>6.7500000000000004E-2</v>
      </c>
    </row>
    <row r="2" spans="1:8" x14ac:dyDescent="0.35">
      <c r="A2" t="s">
        <v>12</v>
      </c>
      <c r="B2" s="9">
        <v>0.02</v>
      </c>
    </row>
    <row r="3" spans="1:8" x14ac:dyDescent="0.35">
      <c r="A3" t="s">
        <v>10</v>
      </c>
      <c r="B3" s="1">
        <v>30</v>
      </c>
    </row>
    <row r="4" spans="1:8" x14ac:dyDescent="0.35">
      <c r="A4" t="s">
        <v>13</v>
      </c>
      <c r="B4" s="12">
        <f ca="1">-PMT($B$1,$B$3,$B$7)</f>
        <v>8.8450432558609654E-2</v>
      </c>
    </row>
    <row r="5" spans="1:8" x14ac:dyDescent="0.35">
      <c r="A5" t="s">
        <v>14</v>
      </c>
      <c r="B5" s="12">
        <f>((1-(1+B2)/(1+B1))/(1-((1+B2)/(1+B1))^B3))*(1+B1)</f>
        <v>6.3779937399791972E-2</v>
      </c>
    </row>
    <row r="7" spans="1:8" x14ac:dyDescent="0.35">
      <c r="A7" t="s">
        <v>23</v>
      </c>
      <c r="B7" s="20">
        <f ca="1">NPV($B$1,OFFSET(B11,0,0,$B$3,1))</f>
        <v>1.1257223715130573</v>
      </c>
      <c r="C7" s="20">
        <f ca="1">NPV($B$1,OFFSET(C11,0,0,$B$3,1))</f>
        <v>1.1257223715130587</v>
      </c>
      <c r="D7" s="20">
        <f ca="1">NPV($B$1,OFFSET(D11,0,0,$B$3,1))</f>
        <v>1.1257223715130578</v>
      </c>
    </row>
    <row r="9" spans="1:8" x14ac:dyDescent="0.35">
      <c r="B9" s="2" t="s">
        <v>17</v>
      </c>
      <c r="C9" s="2" t="s">
        <v>18</v>
      </c>
      <c r="D9" s="2" t="s">
        <v>19</v>
      </c>
      <c r="E9" s="2" t="s">
        <v>20</v>
      </c>
      <c r="F9" s="2" t="s">
        <v>21</v>
      </c>
      <c r="G9" s="2" t="s">
        <v>22</v>
      </c>
      <c r="H9" s="2"/>
    </row>
    <row r="10" spans="1:8" ht="29" x14ac:dyDescent="0.35">
      <c r="B10" s="2" t="s">
        <v>9</v>
      </c>
      <c r="C10" s="2" t="s">
        <v>11</v>
      </c>
      <c r="D10" s="2" t="s">
        <v>2</v>
      </c>
      <c r="E10" s="3" t="s">
        <v>16</v>
      </c>
      <c r="F10" s="2" t="s">
        <v>8</v>
      </c>
      <c r="G10" s="2" t="s">
        <v>2</v>
      </c>
    </row>
    <row r="11" spans="1:8" x14ac:dyDescent="0.35">
      <c r="A11">
        <v>0</v>
      </c>
      <c r="B11" s="10">
        <v>0.1237813</v>
      </c>
      <c r="C11" s="12">
        <f t="shared" ref="C11:C50" ca="1" si="0">-PMT($B$1,$B$3,$B$7)</f>
        <v>8.8450432558609654E-2</v>
      </c>
      <c r="D11" s="12">
        <f t="shared" ref="D11:D50" ca="1" si="1">$B$5*$B$7*(1+$B$2)^A11</f>
        <v>7.1798502384648161E-2</v>
      </c>
      <c r="E11" s="12">
        <f t="shared" ref="E11:E50" ca="1" si="2">$B$7*$B$5</f>
        <v>7.1798502384648161E-2</v>
      </c>
      <c r="F11" s="21">
        <f t="shared" ref="F11:F50" si="3">(1+$B$2)^A11</f>
        <v>1</v>
      </c>
      <c r="G11" s="12">
        <f ca="1">F11*E11</f>
        <v>7.1798502384648161E-2</v>
      </c>
      <c r="H11" s="6">
        <f ca="1">G11-D11</f>
        <v>0</v>
      </c>
    </row>
    <row r="12" spans="1:8" x14ac:dyDescent="0.35">
      <c r="A12">
        <v>1</v>
      </c>
      <c r="B12" s="10">
        <v>0.11986090000000001</v>
      </c>
      <c r="C12" s="12">
        <f t="shared" ca="1" si="0"/>
        <v>8.8450432558609654E-2</v>
      </c>
      <c r="D12" s="12">
        <f t="shared" ca="1" si="1"/>
        <v>7.323447243234113E-2</v>
      </c>
      <c r="E12" s="12">
        <f t="shared" ca="1" si="2"/>
        <v>7.1798502384648161E-2</v>
      </c>
      <c r="F12" s="21">
        <f t="shared" si="3"/>
        <v>1.02</v>
      </c>
      <c r="G12" s="12">
        <f t="shared" ref="G12:G50" ca="1" si="4">F12*E12</f>
        <v>7.323447243234113E-2</v>
      </c>
      <c r="H12" s="6">
        <f t="shared" ref="H12:H50" ca="1" si="5">G12-D12</f>
        <v>0</v>
      </c>
    </row>
    <row r="13" spans="1:8" x14ac:dyDescent="0.35">
      <c r="A13">
        <v>2</v>
      </c>
      <c r="B13" s="10">
        <v>0.1155429</v>
      </c>
      <c r="C13" s="12">
        <f t="shared" ca="1" si="0"/>
        <v>8.8450432558609654E-2</v>
      </c>
      <c r="D13" s="12">
        <f t="shared" ca="1" si="1"/>
        <v>7.4699161880987949E-2</v>
      </c>
      <c r="E13" s="12">
        <f t="shared" ca="1" si="2"/>
        <v>7.1798502384648161E-2</v>
      </c>
      <c r="F13" s="21">
        <f t="shared" si="3"/>
        <v>1.0404</v>
      </c>
      <c r="G13" s="12">
        <f t="shared" ca="1" si="4"/>
        <v>7.4699161880987949E-2</v>
      </c>
      <c r="H13" s="6">
        <f t="shared" ca="1" si="5"/>
        <v>0</v>
      </c>
    </row>
    <row r="14" spans="1:8" x14ac:dyDescent="0.35">
      <c r="A14">
        <v>3</v>
      </c>
      <c r="B14" s="10">
        <v>0.11142709999999999</v>
      </c>
      <c r="C14" s="12">
        <f t="shared" ca="1" si="0"/>
        <v>8.8450432558609654E-2</v>
      </c>
      <c r="D14" s="12">
        <f t="shared" ca="1" si="1"/>
        <v>7.6193145118607697E-2</v>
      </c>
      <c r="E14" s="12">
        <f t="shared" ca="1" si="2"/>
        <v>7.1798502384648161E-2</v>
      </c>
      <c r="F14" s="21">
        <f t="shared" si="3"/>
        <v>1.0612079999999999</v>
      </c>
      <c r="G14" s="12">
        <f t="shared" ca="1" si="4"/>
        <v>7.6193145118607697E-2</v>
      </c>
      <c r="H14" s="6">
        <f t="shared" ca="1" si="5"/>
        <v>0</v>
      </c>
    </row>
    <row r="15" spans="1:8" x14ac:dyDescent="0.35">
      <c r="A15">
        <v>4</v>
      </c>
      <c r="B15" s="10">
        <v>0.1074932</v>
      </c>
      <c r="C15" s="12">
        <f t="shared" ca="1" si="0"/>
        <v>8.8450432558609654E-2</v>
      </c>
      <c r="D15" s="12">
        <f t="shared" ca="1" si="1"/>
        <v>7.7717008020979861E-2</v>
      </c>
      <c r="E15" s="12">
        <f t="shared" ca="1" si="2"/>
        <v>7.1798502384648161E-2</v>
      </c>
      <c r="F15" s="21">
        <f t="shared" si="3"/>
        <v>1.08243216</v>
      </c>
      <c r="G15" s="12">
        <f t="shared" ca="1" si="4"/>
        <v>7.7717008020979861E-2</v>
      </c>
      <c r="H15" s="6">
        <f t="shared" ca="1" si="5"/>
        <v>0</v>
      </c>
    </row>
    <row r="16" spans="1:8" x14ac:dyDescent="0.35">
      <c r="A16">
        <v>5</v>
      </c>
      <c r="B16" s="10">
        <v>0.1037232</v>
      </c>
      <c r="C16" s="12">
        <f t="shared" ca="1" si="0"/>
        <v>8.8450432558609654E-2</v>
      </c>
      <c r="D16" s="12">
        <f t="shared" ca="1" si="1"/>
        <v>7.9271348181399456E-2</v>
      </c>
      <c r="E16" s="12">
        <f t="shared" ca="1" si="2"/>
        <v>7.1798502384648161E-2</v>
      </c>
      <c r="F16" s="21">
        <f t="shared" si="3"/>
        <v>1.1040808032</v>
      </c>
      <c r="G16" s="12">
        <f t="shared" ca="1" si="4"/>
        <v>7.9271348181399456E-2</v>
      </c>
      <c r="H16" s="6">
        <f t="shared" ca="1" si="5"/>
        <v>0</v>
      </c>
    </row>
    <row r="17" spans="1:8" x14ac:dyDescent="0.35">
      <c r="A17">
        <v>6</v>
      </c>
      <c r="B17" s="10">
        <v>0.1000674</v>
      </c>
      <c r="C17" s="12">
        <f t="shared" ca="1" si="0"/>
        <v>8.8450432558609654E-2</v>
      </c>
      <c r="D17" s="12">
        <f t="shared" ca="1" si="1"/>
        <v>8.0856775145027454E-2</v>
      </c>
      <c r="E17" s="12">
        <f t="shared" ca="1" si="2"/>
        <v>7.1798502384648161E-2</v>
      </c>
      <c r="F17" s="21">
        <f t="shared" si="3"/>
        <v>1.1261624192640001</v>
      </c>
      <c r="G17" s="12">
        <f t="shared" ca="1" si="4"/>
        <v>8.0856775145027454E-2</v>
      </c>
      <c r="H17" s="6">
        <f t="shared" ca="1" si="5"/>
        <v>0</v>
      </c>
    </row>
    <row r="18" spans="1:8" x14ac:dyDescent="0.35">
      <c r="A18">
        <v>7</v>
      </c>
      <c r="B18" s="10">
        <v>9.6448369999999992E-2</v>
      </c>
      <c r="C18" s="12">
        <f t="shared" ca="1" si="0"/>
        <v>8.8450432558609654E-2</v>
      </c>
      <c r="D18" s="12">
        <f t="shared" ca="1" si="1"/>
        <v>8.2473910647927987E-2</v>
      </c>
      <c r="E18" s="12">
        <f t="shared" ca="1" si="2"/>
        <v>7.1798502384648161E-2</v>
      </c>
      <c r="F18" s="21">
        <f t="shared" si="3"/>
        <v>1.1486856676492798</v>
      </c>
      <c r="G18" s="12">
        <f t="shared" ca="1" si="4"/>
        <v>8.2473910647927987E-2</v>
      </c>
      <c r="H18" s="6">
        <f t="shared" ca="1" si="5"/>
        <v>0</v>
      </c>
    </row>
    <row r="19" spans="1:8" x14ac:dyDescent="0.35">
      <c r="A19">
        <v>8</v>
      </c>
      <c r="B19" s="10">
        <v>9.2829349999999991E-2</v>
      </c>
      <c r="C19" s="12">
        <f t="shared" ca="1" si="0"/>
        <v>8.8450432558609654E-2</v>
      </c>
      <c r="D19" s="12">
        <f t="shared" ca="1" si="1"/>
        <v>8.412338886088655E-2</v>
      </c>
      <c r="E19" s="12">
        <f t="shared" ca="1" si="2"/>
        <v>7.1798502384648161E-2</v>
      </c>
      <c r="F19" s="21">
        <f t="shared" si="3"/>
        <v>1.1716593810022655</v>
      </c>
      <c r="G19" s="12">
        <f t="shared" ca="1" si="4"/>
        <v>8.412338886088655E-2</v>
      </c>
      <c r="H19" s="6">
        <f t="shared" ca="1" si="5"/>
        <v>0</v>
      </c>
    </row>
    <row r="20" spans="1:8" x14ac:dyDescent="0.35">
      <c r="A20">
        <v>9</v>
      </c>
      <c r="B20" s="10">
        <v>8.921032999999999E-2</v>
      </c>
      <c r="C20" s="12">
        <f t="shared" ca="1" si="0"/>
        <v>8.8450432558609654E-2</v>
      </c>
      <c r="D20" s="12">
        <f t="shared" ca="1" si="1"/>
        <v>8.5805856638104278E-2</v>
      </c>
      <c r="E20" s="12">
        <f t="shared" ca="1" si="2"/>
        <v>7.1798502384648161E-2</v>
      </c>
      <c r="F20" s="21">
        <f t="shared" si="3"/>
        <v>1.1950925686223108</v>
      </c>
      <c r="G20" s="12">
        <f t="shared" ca="1" si="4"/>
        <v>8.5805856638104278E-2</v>
      </c>
      <c r="H20" s="6">
        <f t="shared" ca="1" si="5"/>
        <v>0</v>
      </c>
    </row>
    <row r="21" spans="1:8" x14ac:dyDescent="0.35">
      <c r="A21">
        <v>10</v>
      </c>
      <c r="B21" s="10">
        <v>8.559130999999999E-2</v>
      </c>
      <c r="C21" s="12">
        <f t="shared" ca="1" si="0"/>
        <v>8.8450432558609654E-2</v>
      </c>
      <c r="D21" s="12">
        <f t="shared" ca="1" si="1"/>
        <v>8.7521973770866374E-2</v>
      </c>
      <c r="E21" s="12">
        <f t="shared" ca="1" si="2"/>
        <v>7.1798502384648161E-2</v>
      </c>
      <c r="F21" s="21">
        <f t="shared" si="3"/>
        <v>1.2189944199947571</v>
      </c>
      <c r="G21" s="12">
        <f t="shared" ca="1" si="4"/>
        <v>8.7521973770866374E-2</v>
      </c>
      <c r="H21" s="6">
        <f t="shared" ca="1" si="5"/>
        <v>0</v>
      </c>
    </row>
    <row r="22" spans="1:8" x14ac:dyDescent="0.35">
      <c r="A22">
        <v>11</v>
      </c>
      <c r="B22" s="10">
        <v>8.1972289999999989E-2</v>
      </c>
      <c r="C22" s="12">
        <f t="shared" ca="1" si="0"/>
        <v>8.8450432558609654E-2</v>
      </c>
      <c r="D22" s="12">
        <f t="shared" ca="1" si="1"/>
        <v>8.9272413246283683E-2</v>
      </c>
      <c r="E22" s="12">
        <f t="shared" ca="1" si="2"/>
        <v>7.1798502384648161E-2</v>
      </c>
      <c r="F22" s="21">
        <f t="shared" si="3"/>
        <v>1.243374308394652</v>
      </c>
      <c r="G22" s="12">
        <f t="shared" ca="1" si="4"/>
        <v>8.9272413246283683E-2</v>
      </c>
      <c r="H22" s="6">
        <f t="shared" ca="1" si="5"/>
        <v>0</v>
      </c>
    </row>
    <row r="23" spans="1:8" x14ac:dyDescent="0.35">
      <c r="A23">
        <v>12</v>
      </c>
      <c r="B23" s="10">
        <v>7.8353270000000003E-2</v>
      </c>
      <c r="C23" s="12">
        <f t="shared" ca="1" si="0"/>
        <v>8.8450432558609654E-2</v>
      </c>
      <c r="D23" s="12">
        <f t="shared" ca="1" si="1"/>
        <v>9.105786151120937E-2</v>
      </c>
      <c r="E23" s="12">
        <f t="shared" ca="1" si="2"/>
        <v>7.1798502384648161E-2</v>
      </c>
      <c r="F23" s="21">
        <f t="shared" si="3"/>
        <v>1.2682417945625453</v>
      </c>
      <c r="G23" s="12">
        <f t="shared" ca="1" si="4"/>
        <v>9.105786151120937E-2</v>
      </c>
      <c r="H23" s="6">
        <f t="shared" ca="1" si="5"/>
        <v>0</v>
      </c>
    </row>
    <row r="24" spans="1:8" x14ac:dyDescent="0.35">
      <c r="A24">
        <v>13</v>
      </c>
      <c r="B24" s="10">
        <v>7.4734239999999993E-2</v>
      </c>
      <c r="C24" s="12">
        <f t="shared" ca="1" si="0"/>
        <v>8.8450432558609654E-2</v>
      </c>
      <c r="D24" s="12">
        <f t="shared" ca="1" si="1"/>
        <v>9.2879018741433547E-2</v>
      </c>
      <c r="E24" s="12">
        <f t="shared" ca="1" si="2"/>
        <v>7.1798502384648161E-2</v>
      </c>
      <c r="F24" s="21">
        <f t="shared" si="3"/>
        <v>1.2936066304537961</v>
      </c>
      <c r="G24" s="12">
        <f t="shared" ca="1" si="4"/>
        <v>9.2879018741433547E-2</v>
      </c>
      <c r="H24" s="6">
        <f t="shared" ca="1" si="5"/>
        <v>0</v>
      </c>
    </row>
    <row r="25" spans="1:8" x14ac:dyDescent="0.35">
      <c r="A25">
        <v>14</v>
      </c>
      <c r="B25" s="10">
        <v>7.1115219999999993E-2</v>
      </c>
      <c r="C25" s="12">
        <f t="shared" ca="1" si="0"/>
        <v>8.8450432558609654E-2</v>
      </c>
      <c r="D25" s="12">
        <f t="shared" ca="1" si="1"/>
        <v>9.4736599116262227E-2</v>
      </c>
      <c r="E25" s="12">
        <f t="shared" ca="1" si="2"/>
        <v>7.1798502384648161E-2</v>
      </c>
      <c r="F25" s="21">
        <f t="shared" si="3"/>
        <v>1.3194787630628722</v>
      </c>
      <c r="G25" s="12">
        <f t="shared" ca="1" si="4"/>
        <v>9.4736599116262227E-2</v>
      </c>
      <c r="H25" s="6">
        <f t="shared" ca="1" si="5"/>
        <v>0</v>
      </c>
    </row>
    <row r="26" spans="1:8" x14ac:dyDescent="0.35">
      <c r="A26">
        <v>15</v>
      </c>
      <c r="B26" s="10">
        <v>6.7826899999999996E-2</v>
      </c>
      <c r="C26" s="12">
        <f t="shared" ca="1" si="0"/>
        <v>8.8450432558609654E-2</v>
      </c>
      <c r="D26" s="12">
        <f t="shared" ca="1" si="1"/>
        <v>9.6631331098587445E-2</v>
      </c>
      <c r="E26" s="12">
        <f t="shared" ca="1" si="2"/>
        <v>7.1798502384648161E-2</v>
      </c>
      <c r="F26" s="21">
        <f t="shared" si="3"/>
        <v>1.3458683383241292</v>
      </c>
      <c r="G26" s="12">
        <f t="shared" ca="1" si="4"/>
        <v>9.6631331098587445E-2</v>
      </c>
      <c r="H26" s="6">
        <f t="shared" ca="1" si="5"/>
        <v>0</v>
      </c>
    </row>
    <row r="27" spans="1:8" x14ac:dyDescent="0.35">
      <c r="A27">
        <v>16</v>
      </c>
      <c r="B27" s="10">
        <v>6.5199999999999994E-2</v>
      </c>
      <c r="C27" s="12">
        <f t="shared" ca="1" si="0"/>
        <v>8.8450432558609654E-2</v>
      </c>
      <c r="D27" s="12">
        <f t="shared" ca="1" si="1"/>
        <v>9.8563957720559217E-2</v>
      </c>
      <c r="E27" s="12">
        <f t="shared" ca="1" si="2"/>
        <v>7.1798502384648161E-2</v>
      </c>
      <c r="F27" s="21">
        <f t="shared" si="3"/>
        <v>1.372785705090612</v>
      </c>
      <c r="G27" s="12">
        <f t="shared" ca="1" si="4"/>
        <v>9.8563957720559217E-2</v>
      </c>
      <c r="H27" s="6">
        <f t="shared" ca="1" si="5"/>
        <v>0</v>
      </c>
    </row>
    <row r="28" spans="1:8" x14ac:dyDescent="0.35">
      <c r="A28">
        <v>17</v>
      </c>
      <c r="B28" s="10">
        <v>6.2903799999999996E-2</v>
      </c>
      <c r="C28" s="12">
        <f t="shared" ca="1" si="0"/>
        <v>8.8450432558609654E-2</v>
      </c>
      <c r="D28" s="12">
        <f t="shared" ca="1" si="1"/>
        <v>0.1005352368749704</v>
      </c>
      <c r="E28" s="12">
        <f t="shared" ca="1" si="2"/>
        <v>7.1798502384648161E-2</v>
      </c>
      <c r="F28" s="21">
        <f t="shared" si="3"/>
        <v>1.4002414191924244</v>
      </c>
      <c r="G28" s="12">
        <f t="shared" ca="1" si="4"/>
        <v>0.1005352368749704</v>
      </c>
      <c r="H28" s="6">
        <f t="shared" ca="1" si="5"/>
        <v>0</v>
      </c>
    </row>
    <row r="29" spans="1:8" x14ac:dyDescent="0.35">
      <c r="A29">
        <v>18</v>
      </c>
      <c r="B29" s="10">
        <v>6.0607610000000006E-2</v>
      </c>
      <c r="C29" s="12">
        <f t="shared" ca="1" si="0"/>
        <v>8.8450432558609654E-2</v>
      </c>
      <c r="D29" s="12">
        <f t="shared" ca="1" si="1"/>
        <v>0.1025459416124698</v>
      </c>
      <c r="E29" s="12">
        <f t="shared" ca="1" si="2"/>
        <v>7.1798502384648161E-2</v>
      </c>
      <c r="F29" s="21">
        <f t="shared" si="3"/>
        <v>1.4282462475762727</v>
      </c>
      <c r="G29" s="12">
        <f t="shared" ca="1" si="4"/>
        <v>0.1025459416124698</v>
      </c>
      <c r="H29" s="6">
        <f t="shared" ca="1" si="5"/>
        <v>0</v>
      </c>
    </row>
    <row r="30" spans="1:8" x14ac:dyDescent="0.35">
      <c r="A30">
        <v>19</v>
      </c>
      <c r="B30" s="10">
        <v>5.8311409999999994E-2</v>
      </c>
      <c r="C30" s="12">
        <f t="shared" ca="1" si="0"/>
        <v>8.8450432558609654E-2</v>
      </c>
      <c r="D30" s="12">
        <f t="shared" ca="1" si="1"/>
        <v>0.10459686044471919</v>
      </c>
      <c r="E30" s="12">
        <f t="shared" ca="1" si="2"/>
        <v>7.1798502384648161E-2</v>
      </c>
      <c r="F30" s="21">
        <f t="shared" si="3"/>
        <v>1.4568111725277981</v>
      </c>
      <c r="G30" s="12">
        <f t="shared" ca="1" si="4"/>
        <v>0.10459686044471919</v>
      </c>
      <c r="H30" s="6">
        <f t="shared" ca="1" si="5"/>
        <v>0</v>
      </c>
    </row>
    <row r="31" spans="1:8" x14ac:dyDescent="0.35">
      <c r="A31">
        <v>20</v>
      </c>
      <c r="B31" s="10">
        <v>5.6015209999999996E-2</v>
      </c>
      <c r="C31" s="12">
        <f t="shared" ca="1" si="0"/>
        <v>8.8450432558609654E-2</v>
      </c>
      <c r="D31" s="12">
        <f t="shared" ca="1" si="1"/>
        <v>0.1066887976536136</v>
      </c>
      <c r="E31" s="12">
        <f t="shared" ca="1" si="2"/>
        <v>7.1798502384648161E-2</v>
      </c>
      <c r="F31" s="21">
        <f t="shared" si="3"/>
        <v>1.4859473959783542</v>
      </c>
      <c r="G31" s="12">
        <f t="shared" ca="1" si="4"/>
        <v>0.1066887976536136</v>
      </c>
      <c r="H31" s="6">
        <f t="shared" ca="1" si="5"/>
        <v>0</v>
      </c>
    </row>
    <row r="32" spans="1:8" x14ac:dyDescent="0.35">
      <c r="A32">
        <v>21</v>
      </c>
      <c r="B32" s="10">
        <v>5.3719009999999998E-2</v>
      </c>
      <c r="C32" s="12">
        <f t="shared" ca="1" si="0"/>
        <v>8.8450432558609654E-2</v>
      </c>
      <c r="D32" s="12">
        <f t="shared" ca="1" si="1"/>
        <v>0.10882257360668586</v>
      </c>
      <c r="E32" s="12">
        <f t="shared" ca="1" si="2"/>
        <v>7.1798502384648161E-2</v>
      </c>
      <c r="F32" s="21">
        <f t="shared" si="3"/>
        <v>1.5156663438979212</v>
      </c>
      <c r="G32" s="12">
        <f t="shared" ca="1" si="4"/>
        <v>0.10882257360668586</v>
      </c>
      <c r="H32" s="6">
        <f t="shared" ca="1" si="5"/>
        <v>0</v>
      </c>
    </row>
    <row r="33" spans="1:8" x14ac:dyDescent="0.35">
      <c r="A33">
        <v>22</v>
      </c>
      <c r="B33" s="10">
        <v>5.1422820000000001E-2</v>
      </c>
      <c r="C33" s="12">
        <f t="shared" ca="1" si="0"/>
        <v>8.8450432558609654E-2</v>
      </c>
      <c r="D33" s="12">
        <f t="shared" ca="1" si="1"/>
        <v>0.11099902507881958</v>
      </c>
      <c r="E33" s="12">
        <f t="shared" ca="1" si="2"/>
        <v>7.1798502384648161E-2</v>
      </c>
      <c r="F33" s="21">
        <f t="shared" si="3"/>
        <v>1.5459796707758797</v>
      </c>
      <c r="G33" s="12">
        <f t="shared" ca="1" si="4"/>
        <v>0.11099902507881958</v>
      </c>
      <c r="H33" s="6">
        <f t="shared" ca="1" si="5"/>
        <v>0</v>
      </c>
    </row>
    <row r="34" spans="1:8" x14ac:dyDescent="0.35">
      <c r="A34">
        <v>23</v>
      </c>
      <c r="B34" s="10">
        <v>4.9126629999999998E-2</v>
      </c>
      <c r="C34" s="12">
        <f t="shared" ca="1" si="0"/>
        <v>8.8450432558609654E-2</v>
      </c>
      <c r="D34" s="12">
        <f t="shared" ca="1" si="1"/>
        <v>0.11321900558039595</v>
      </c>
      <c r="E34" s="12">
        <f t="shared" ca="1" si="2"/>
        <v>7.1798502384648161E-2</v>
      </c>
      <c r="F34" s="21">
        <f t="shared" si="3"/>
        <v>1.576899264191397</v>
      </c>
      <c r="G34" s="12">
        <f t="shared" ca="1" si="4"/>
        <v>0.11321900558039595</v>
      </c>
      <c r="H34" s="6">
        <f t="shared" ca="1" si="5"/>
        <v>0</v>
      </c>
    </row>
    <row r="35" spans="1:8" x14ac:dyDescent="0.35">
      <c r="A35">
        <v>24</v>
      </c>
      <c r="B35" s="10">
        <v>4.6830429999999999E-2</v>
      </c>
      <c r="C35" s="12">
        <f t="shared" ca="1" si="0"/>
        <v>8.8450432558609654E-2</v>
      </c>
      <c r="D35" s="12">
        <f t="shared" ca="1" si="1"/>
        <v>0.11548338569200388</v>
      </c>
      <c r="E35" s="12">
        <f t="shared" ca="1" si="2"/>
        <v>7.1798502384648161E-2</v>
      </c>
      <c r="F35" s="21">
        <f t="shared" si="3"/>
        <v>1.608437249475225</v>
      </c>
      <c r="G35" s="12">
        <f t="shared" ca="1" si="4"/>
        <v>0.11548338569200388</v>
      </c>
      <c r="H35" s="6">
        <f t="shared" ca="1" si="5"/>
        <v>0</v>
      </c>
    </row>
    <row r="36" spans="1:8" x14ac:dyDescent="0.35">
      <c r="A36">
        <v>25</v>
      </c>
      <c r="B36" s="10">
        <v>4.4534240000000003E-2</v>
      </c>
      <c r="C36" s="12">
        <f t="shared" ca="1" si="0"/>
        <v>8.8450432558609654E-2</v>
      </c>
      <c r="D36" s="12">
        <f t="shared" ca="1" si="1"/>
        <v>0.11779305340584395</v>
      </c>
      <c r="E36" s="12">
        <f t="shared" ca="1" si="2"/>
        <v>7.1798502384648161E-2</v>
      </c>
      <c r="F36" s="21">
        <f t="shared" si="3"/>
        <v>1.6406059944647295</v>
      </c>
      <c r="G36" s="12">
        <f t="shared" ca="1" si="4"/>
        <v>0.11779305340584395</v>
      </c>
      <c r="H36" s="6">
        <f t="shared" ca="1" si="5"/>
        <v>0</v>
      </c>
    </row>
    <row r="37" spans="1:8" x14ac:dyDescent="0.35">
      <c r="A37">
        <v>26</v>
      </c>
      <c r="B37" s="10">
        <v>4.2238050000000006E-2</v>
      </c>
      <c r="C37" s="12">
        <f t="shared" ca="1" si="0"/>
        <v>8.8450432558609654E-2</v>
      </c>
      <c r="D37" s="12">
        <f t="shared" ca="1" si="1"/>
        <v>0.12014891447396084</v>
      </c>
      <c r="E37" s="12">
        <f t="shared" ca="1" si="2"/>
        <v>7.1798502384648161E-2</v>
      </c>
      <c r="F37" s="21">
        <f t="shared" si="3"/>
        <v>1.6734181143540243</v>
      </c>
      <c r="G37" s="12">
        <f t="shared" ca="1" si="4"/>
        <v>0.12014891447396084</v>
      </c>
      <c r="H37" s="6">
        <f t="shared" ca="1" si="5"/>
        <v>0</v>
      </c>
    </row>
    <row r="38" spans="1:8" x14ac:dyDescent="0.35">
      <c r="A38">
        <v>27</v>
      </c>
      <c r="B38" s="10">
        <v>3.9941850000000001E-2</v>
      </c>
      <c r="C38" s="12">
        <f t="shared" ca="1" si="0"/>
        <v>8.8450432558609654E-2</v>
      </c>
      <c r="D38" s="12">
        <f t="shared" ca="1" si="1"/>
        <v>0.12255189276344004</v>
      </c>
      <c r="E38" s="12">
        <f t="shared" ca="1" si="2"/>
        <v>7.1798502384648161E-2</v>
      </c>
      <c r="F38" s="21">
        <f t="shared" si="3"/>
        <v>1.7068864766411045</v>
      </c>
      <c r="G38" s="12">
        <f t="shared" ca="1" si="4"/>
        <v>0.12255189276344004</v>
      </c>
      <c r="H38" s="6">
        <f t="shared" ca="1" si="5"/>
        <v>0</v>
      </c>
    </row>
    <row r="39" spans="1:8" x14ac:dyDescent="0.35">
      <c r="A39">
        <v>28</v>
      </c>
      <c r="B39" s="10">
        <v>3.7645659999999997E-2</v>
      </c>
      <c r="C39" s="12">
        <f t="shared" ca="1" si="0"/>
        <v>8.8450432558609654E-2</v>
      </c>
      <c r="D39" s="12">
        <f t="shared" ca="1" si="1"/>
        <v>0.12500293061870887</v>
      </c>
      <c r="E39" s="12">
        <f t="shared" ca="1" si="2"/>
        <v>7.1798502384648161E-2</v>
      </c>
      <c r="F39" s="21">
        <f t="shared" si="3"/>
        <v>1.7410242061739269</v>
      </c>
      <c r="G39" s="12">
        <f t="shared" ca="1" si="4"/>
        <v>0.12500293061870887</v>
      </c>
      <c r="H39" s="6">
        <f t="shared" ca="1" si="5"/>
        <v>0</v>
      </c>
    </row>
    <row r="40" spans="1:8" x14ac:dyDescent="0.35">
      <c r="A40">
        <v>29</v>
      </c>
      <c r="B40" s="10">
        <v>3.5349459999999999E-2</v>
      </c>
      <c r="C40" s="12">
        <f t="shared" ca="1" si="0"/>
        <v>8.8450432558609654E-2</v>
      </c>
      <c r="D40" s="12">
        <f t="shared" ca="1" si="1"/>
        <v>0.12750298923108302</v>
      </c>
      <c r="E40" s="12">
        <f t="shared" ca="1" si="2"/>
        <v>7.1798502384648161E-2</v>
      </c>
      <c r="F40" s="21">
        <f t="shared" si="3"/>
        <v>1.7758446902974052</v>
      </c>
      <c r="G40" s="12">
        <f t="shared" ca="1" si="4"/>
        <v>0.12750298923108302</v>
      </c>
      <c r="H40" s="6">
        <f t="shared" ca="1" si="5"/>
        <v>0</v>
      </c>
    </row>
    <row r="41" spans="1:8" x14ac:dyDescent="0.35">
      <c r="A41">
        <v>30</v>
      </c>
      <c r="B41" s="10"/>
      <c r="C41" s="12">
        <f t="shared" ca="1" si="0"/>
        <v>8.8450432558609654E-2</v>
      </c>
      <c r="D41" s="12">
        <f t="shared" ca="1" si="1"/>
        <v>0.13005304901570469</v>
      </c>
      <c r="E41" s="12">
        <f t="shared" ca="1" si="2"/>
        <v>7.1798502384648161E-2</v>
      </c>
      <c r="F41" s="21">
        <f t="shared" si="3"/>
        <v>1.8113615841033535</v>
      </c>
      <c r="G41" s="12">
        <f t="shared" ca="1" si="4"/>
        <v>0.13005304901570469</v>
      </c>
      <c r="H41" s="6">
        <f t="shared" ca="1" si="5"/>
        <v>0</v>
      </c>
    </row>
    <row r="42" spans="1:8" x14ac:dyDescent="0.35">
      <c r="A42">
        <v>31</v>
      </c>
      <c r="B42" s="10"/>
      <c r="C42" s="12">
        <f t="shared" ca="1" si="0"/>
        <v>8.8450432558609654E-2</v>
      </c>
      <c r="D42" s="12">
        <f t="shared" ca="1" si="1"/>
        <v>0.13265410999601876</v>
      </c>
      <c r="E42" s="12">
        <f t="shared" ca="1" si="2"/>
        <v>7.1798502384648161E-2</v>
      </c>
      <c r="F42" s="21">
        <f t="shared" si="3"/>
        <v>1.8475888157854201</v>
      </c>
      <c r="G42" s="12">
        <f t="shared" ca="1" si="4"/>
        <v>0.13265410999601876</v>
      </c>
      <c r="H42" s="6">
        <f t="shared" ca="1" si="5"/>
        <v>0</v>
      </c>
    </row>
    <row r="43" spans="1:8" x14ac:dyDescent="0.35">
      <c r="A43">
        <v>32</v>
      </c>
      <c r="B43" s="10"/>
      <c r="C43" s="12">
        <f t="shared" ca="1" si="0"/>
        <v>8.8450432558609654E-2</v>
      </c>
      <c r="D43" s="12">
        <f t="shared" ca="1" si="1"/>
        <v>0.13530719219593915</v>
      </c>
      <c r="E43" s="12">
        <f t="shared" ca="1" si="2"/>
        <v>7.1798502384648161E-2</v>
      </c>
      <c r="F43" s="21">
        <f t="shared" si="3"/>
        <v>1.8845405921011289</v>
      </c>
      <c r="G43" s="12">
        <f t="shared" ca="1" si="4"/>
        <v>0.13530719219593915</v>
      </c>
      <c r="H43" s="6">
        <f t="shared" ca="1" si="5"/>
        <v>0</v>
      </c>
    </row>
    <row r="44" spans="1:8" x14ac:dyDescent="0.35">
      <c r="A44">
        <v>33</v>
      </c>
      <c r="B44" s="10"/>
      <c r="C44" s="12">
        <f t="shared" ca="1" si="0"/>
        <v>8.8450432558609654E-2</v>
      </c>
      <c r="D44" s="12">
        <f t="shared" ca="1" si="1"/>
        <v>0.13801333603985796</v>
      </c>
      <c r="E44" s="12">
        <f t="shared" ca="1" si="2"/>
        <v>7.1798502384648161E-2</v>
      </c>
      <c r="F44" s="21">
        <f t="shared" si="3"/>
        <v>1.9222314039431516</v>
      </c>
      <c r="G44" s="12">
        <f t="shared" ca="1" si="4"/>
        <v>0.13801333603985796</v>
      </c>
      <c r="H44" s="6">
        <f t="shared" ca="1" si="5"/>
        <v>0</v>
      </c>
    </row>
    <row r="45" spans="1:8" x14ac:dyDescent="0.35">
      <c r="A45">
        <v>34</v>
      </c>
      <c r="B45" s="10"/>
      <c r="C45" s="12">
        <f t="shared" ca="1" si="0"/>
        <v>8.8450432558609654E-2</v>
      </c>
      <c r="D45" s="12">
        <f t="shared" ca="1" si="1"/>
        <v>0.14077360276065509</v>
      </c>
      <c r="E45" s="12">
        <f t="shared" ca="1" si="2"/>
        <v>7.1798502384648161E-2</v>
      </c>
      <c r="F45" s="21">
        <f t="shared" si="3"/>
        <v>1.9606760320220145</v>
      </c>
      <c r="G45" s="12">
        <f t="shared" ca="1" si="4"/>
        <v>0.14077360276065509</v>
      </c>
      <c r="H45" s="6">
        <f t="shared" ca="1" si="5"/>
        <v>0</v>
      </c>
    </row>
    <row r="46" spans="1:8" x14ac:dyDescent="0.35">
      <c r="A46">
        <v>35</v>
      </c>
      <c r="B46" s="10"/>
      <c r="C46" s="12">
        <f t="shared" ca="1" si="0"/>
        <v>8.8450432558609654E-2</v>
      </c>
      <c r="D46" s="12">
        <f t="shared" ca="1" si="1"/>
        <v>0.14358907481586819</v>
      </c>
      <c r="E46" s="12">
        <f t="shared" ca="1" si="2"/>
        <v>7.1798502384648161E-2</v>
      </c>
      <c r="F46" s="21">
        <f t="shared" si="3"/>
        <v>1.9998895526624547</v>
      </c>
      <c r="G46" s="12">
        <f t="shared" ca="1" si="4"/>
        <v>0.14358907481586819</v>
      </c>
      <c r="H46" s="6">
        <f t="shared" ca="1" si="5"/>
        <v>0</v>
      </c>
    </row>
    <row r="47" spans="1:8" x14ac:dyDescent="0.35">
      <c r="A47">
        <v>36</v>
      </c>
      <c r="B47" s="10"/>
      <c r="C47" s="12">
        <f t="shared" ca="1" si="0"/>
        <v>8.8450432558609654E-2</v>
      </c>
      <c r="D47" s="12">
        <f t="shared" ca="1" si="1"/>
        <v>0.14646085631218556</v>
      </c>
      <c r="E47" s="12">
        <f t="shared" ca="1" si="2"/>
        <v>7.1798502384648161E-2</v>
      </c>
      <c r="F47" s="21">
        <f t="shared" si="3"/>
        <v>2.0398873437157037</v>
      </c>
      <c r="G47" s="12">
        <f t="shared" ca="1" si="4"/>
        <v>0.14646085631218556</v>
      </c>
      <c r="H47" s="6">
        <f t="shared" ca="1" si="5"/>
        <v>0</v>
      </c>
    </row>
    <row r="48" spans="1:8" x14ac:dyDescent="0.35">
      <c r="A48">
        <v>37</v>
      </c>
      <c r="B48" s="10"/>
      <c r="C48" s="12">
        <f t="shared" ca="1" si="0"/>
        <v>8.8450432558609654E-2</v>
      </c>
      <c r="D48" s="12">
        <f t="shared" ca="1" si="1"/>
        <v>0.14939007343842928</v>
      </c>
      <c r="E48" s="12">
        <f t="shared" ca="1" si="2"/>
        <v>7.1798502384648161E-2</v>
      </c>
      <c r="F48" s="21">
        <f t="shared" si="3"/>
        <v>2.080685090590018</v>
      </c>
      <c r="G48" s="12">
        <f t="shared" ca="1" si="4"/>
        <v>0.14939007343842928</v>
      </c>
      <c r="H48" s="6">
        <f t="shared" ca="1" si="5"/>
        <v>0</v>
      </c>
    </row>
    <row r="49" spans="1:8" x14ac:dyDescent="0.35">
      <c r="A49">
        <v>38</v>
      </c>
      <c r="B49" s="10"/>
      <c r="C49" s="12">
        <f t="shared" ca="1" si="0"/>
        <v>8.8450432558609654E-2</v>
      </c>
      <c r="D49" s="12">
        <f t="shared" ca="1" si="1"/>
        <v>0.1523778749071979</v>
      </c>
      <c r="E49" s="12">
        <f t="shared" ca="1" si="2"/>
        <v>7.1798502384648161E-2</v>
      </c>
      <c r="F49" s="21">
        <f t="shared" si="3"/>
        <v>2.1222987924018186</v>
      </c>
      <c r="G49" s="12">
        <f t="shared" ca="1" si="4"/>
        <v>0.1523778749071979</v>
      </c>
      <c r="H49" s="6">
        <f t="shared" ca="1" si="5"/>
        <v>0</v>
      </c>
    </row>
    <row r="50" spans="1:8" x14ac:dyDescent="0.35">
      <c r="A50">
        <v>39</v>
      </c>
      <c r="B50" s="10"/>
      <c r="C50" s="12">
        <f t="shared" ca="1" si="0"/>
        <v>8.8450432558609654E-2</v>
      </c>
      <c r="D50" s="12">
        <f t="shared" ca="1" si="1"/>
        <v>0.15542543240534179</v>
      </c>
      <c r="E50" s="12">
        <f t="shared" ca="1" si="2"/>
        <v>7.1798502384648161E-2</v>
      </c>
      <c r="F50" s="21">
        <f t="shared" si="3"/>
        <v>2.1647447682498542</v>
      </c>
      <c r="G50" s="12">
        <f t="shared" ca="1" si="4"/>
        <v>0.15542543240534179</v>
      </c>
      <c r="H50" s="6">
        <f t="shared" ca="1" si="5"/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8" ma:contentTypeDescription="Create a new document." ma:contentTypeScope="" ma:versionID="fea57edea9a9507671266a2a8deae77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4d396819d558486687834482d26417ec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evington, John"/>
          <xsd:enumeration value="Blake, Kent W."/>
          <xsd:enumeration value="Conroy, Robert M."/>
          <xsd:enumeration value="Fackler, Andrea"/>
          <xsd:enumeration value="Garrett, Christopher M."/>
          <xsd:enumeration value="Hornung, Michael E."/>
          <xsd:enumeration value="Leichty, Douglas A."/>
          <xsd:enumeration value="Lovekamp, Rick E."/>
          <xsd:enumeration value="McCombs, Drew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Billing Determinants"/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 xsi:nil="true"/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 xsi:nil="true"/>
    <Year xmlns="54fcda00-7b58-44a7-b108-8bd10a8a08ba">2020</Year>
    <Document_x0020_Type xmlns="54fcda00-7b58-44a7-b108-8bd10a8a08ba">Supplemental Rebuttal Testimony</Document_x0020_Type>
    <Witness_x0020_Testimony xmlns="54fcda00-7b58-44a7-b108-8bd10a8a08ba">Sinclair, David S.</Witness_x0020_Testimony>
    <Intervemprs xmlns="54fcda00-7b58-44a7-b108-8bd10a8a08ba" xsi:nil="true"/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84E95369-7230-444F-BCDE-051A98860A74}"/>
</file>

<file path=customXml/itemProps2.xml><?xml version="1.0" encoding="utf-8"?>
<ds:datastoreItem xmlns:ds="http://schemas.openxmlformats.org/officeDocument/2006/customXml" ds:itemID="{3FBE81CE-3123-4B87-933C-010EC415D5CA}"/>
</file>

<file path=customXml/itemProps3.xml><?xml version="1.0" encoding="utf-8"?>
<ds:datastoreItem xmlns:ds="http://schemas.openxmlformats.org/officeDocument/2006/customXml" ds:itemID="{C3CF55F1-3C72-4760-8DE5-2A7EFCDACEE1}"/>
</file>

<file path=customXml/itemProps4.xml><?xml version="1.0" encoding="utf-8"?>
<ds:datastoreItem xmlns:ds="http://schemas.openxmlformats.org/officeDocument/2006/customXml" ds:itemID="{EE58992F-BFD3-4B12-97DB-B7D3E2384F06}"/>
</file>

<file path=customXml/itemProps5.xml><?xml version="1.0" encoding="utf-8"?>
<ds:datastoreItem xmlns:ds="http://schemas.openxmlformats.org/officeDocument/2006/customXml" ds:itemID="{91C99F60-1B1D-41AD-8D6B-FF81FBA10D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NGCCCost</vt:lpstr>
      <vt:lpstr>NREL</vt:lpstr>
      <vt:lpstr>RRProfile</vt:lpstr>
      <vt:lpstr>ECCExample</vt:lpstr>
    </vt:vector>
  </TitlesOfParts>
  <Company>E.ON U.S.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Wilson</dc:creator>
  <cp:lastModifiedBy>Wilson, Stuart</cp:lastModifiedBy>
  <cp:lastPrinted>2020-03-11T22:04:59Z</cp:lastPrinted>
  <dcterms:created xsi:type="dcterms:W3CDTF">2012-03-06T17:07:14Z</dcterms:created>
  <dcterms:modified xsi:type="dcterms:W3CDTF">2021-08-03T22:38:13Z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2020-10-09T20:12:03Z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26c66771-fabd-4246-977a-f158dd3c6873</vt:lpwstr>
  </property>
  <property fmtid="{D5CDD505-2E9C-101B-9397-08002B2CF9AE}" pid="8" name="MSIP_Label_e965de27-20ef-4eb5-94ff-abaf6a06cb9e_ContentBits">
    <vt:lpwstr>0</vt:lpwstr>
  </property>
  <property fmtid="{D5CDD505-2E9C-101B-9397-08002B2CF9AE}" pid="9" name="{A44787D4-0540-4523-9961-78E4036D8C6D}">
    <vt:lpwstr>{451ABE37-B7A7-4398-B4A0-331F973F38AA}</vt:lpwstr>
  </property>
  <property fmtid="{D5CDD505-2E9C-101B-9397-08002B2CF9AE}" pid="10" name="ContentTypeId">
    <vt:lpwstr>0x0101002D0103853DF7894DB347713A7250CD66</vt:lpwstr>
  </property>
</Properties>
</file>