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53A706AC-5060-42DB-AE0F-0AFCA6D52B30}" xr6:coauthVersionLast="45" xr6:coauthVersionMax="45" xr10:uidLastSave="{00000000-0000-0000-0000-000000000000}"/>
  <bookViews>
    <workbookView xWindow="-120" yWindow="-120" windowWidth="29040" windowHeight="17640" xr2:uid="{5812FBED-B640-4409-9FB3-CE895CD98D9D}"/>
  </bookViews>
  <sheets>
    <sheet name="2021" sheetId="1" r:id="rId1"/>
    <sheet name="2022" sheetId="7" r:id="rId2"/>
    <sheet name="2023" sheetId="8" r:id="rId3"/>
    <sheet name="2024" sheetId="9" r:id="rId4"/>
    <sheet name="2025" sheetId="10" r:id="rId5"/>
    <sheet name="2026" sheetId="11" r:id="rId6"/>
  </sheets>
  <definedNames>
    <definedName name="_xlnm.Print_Area" localSheetId="0">'2021'!$A$1:$H$179</definedName>
    <definedName name="_xlnm.Print_Area" localSheetId="1">'2022'!$A$1:$H$179</definedName>
    <definedName name="_xlnm.Print_Area" localSheetId="2">'2023'!$A$1:$H$179</definedName>
    <definedName name="_xlnm.Print_Area" localSheetId="3">'2024'!$A$1:$H$179</definedName>
    <definedName name="_xlnm.Print_Area" localSheetId="4">'2025'!$A$1:$H$179</definedName>
    <definedName name="_xlnm.Print_Area" localSheetId="5">'2026'!$A$1:$H$179</definedName>
    <definedName name="_xlnm.Print_Titles" localSheetId="0">'2021'!$1:$4</definedName>
    <definedName name="_xlnm.Print_Titles" localSheetId="1">'2022'!$1:$4</definedName>
    <definedName name="_xlnm.Print_Titles" localSheetId="2">'2023'!$1:$4</definedName>
    <definedName name="_xlnm.Print_Titles" localSheetId="3">'2024'!$1:$4</definedName>
    <definedName name="_xlnm.Print_Titles" localSheetId="4">'2025'!$1:$4</definedName>
    <definedName name="_xlnm.Print_Titles" localSheetId="5">'2026'!$1:$4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8" i="11" l="1"/>
  <c r="D111" i="11" s="1"/>
  <c r="C124" i="11" s="1"/>
  <c r="F28" i="11"/>
  <c r="C123" i="11"/>
  <c r="C122" i="11"/>
  <c r="C121" i="11"/>
  <c r="C120" i="11"/>
  <c r="C118" i="11"/>
  <c r="D104" i="11"/>
  <c r="F70" i="11"/>
  <c r="F69" i="11"/>
  <c r="F68" i="11"/>
  <c r="F67" i="11"/>
  <c r="C50" i="11"/>
  <c r="E50" i="11" s="1"/>
  <c r="C119" i="11" s="1"/>
  <c r="E26" i="11"/>
  <c r="C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C123" i="10"/>
  <c r="C122" i="10"/>
  <c r="C121" i="10"/>
  <c r="C120" i="10"/>
  <c r="C118" i="10"/>
  <c r="D104" i="10"/>
  <c r="D108" i="10" s="1"/>
  <c r="D111" i="10" s="1"/>
  <c r="C124" i="10" s="1"/>
  <c r="F70" i="10"/>
  <c r="F69" i="10"/>
  <c r="F68" i="10"/>
  <c r="F67" i="10"/>
  <c r="C50" i="10"/>
  <c r="E50" i="10" s="1"/>
  <c r="C119" i="10" s="1"/>
  <c r="E26" i="10"/>
  <c r="C26" i="10"/>
  <c r="C28" i="10" s="1"/>
  <c r="F25" i="10"/>
  <c r="F24" i="10"/>
  <c r="F23" i="10"/>
  <c r="F22" i="10"/>
  <c r="F21" i="10"/>
  <c r="F20" i="10"/>
  <c r="F19" i="10"/>
  <c r="F18" i="10"/>
  <c r="F17" i="10"/>
  <c r="F16" i="10"/>
  <c r="F15" i="10"/>
  <c r="F14" i="10"/>
  <c r="F26" i="10" s="1"/>
  <c r="F28" i="10" s="1"/>
  <c r="E33" i="10" s="1"/>
  <c r="C118" i="9"/>
  <c r="C123" i="9"/>
  <c r="C122" i="9"/>
  <c r="C121" i="9"/>
  <c r="C120" i="9"/>
  <c r="D104" i="9"/>
  <c r="D108" i="9" s="1"/>
  <c r="D111" i="9" s="1"/>
  <c r="C124" i="9" s="1"/>
  <c r="F70" i="9"/>
  <c r="F68" i="9"/>
  <c r="F67" i="9"/>
  <c r="F69" i="9" s="1"/>
  <c r="E26" i="9"/>
  <c r="F22" i="9" s="1"/>
  <c r="C26" i="9"/>
  <c r="C28" i="9" s="1"/>
  <c r="F23" i="9"/>
  <c r="F19" i="9"/>
  <c r="F15" i="9"/>
  <c r="F26" i="11" l="1"/>
  <c r="E33" i="11" s="1"/>
  <c r="E34" i="11"/>
  <c r="G34" i="11" s="1"/>
  <c r="C117" i="11" s="1"/>
  <c r="C116" i="11"/>
  <c r="D144" i="11" s="1"/>
  <c r="E34" i="10"/>
  <c r="G34" i="10" s="1"/>
  <c r="C117" i="10" s="1"/>
  <c r="D134" i="10" s="1"/>
  <c r="C116" i="10"/>
  <c r="D144" i="10" s="1"/>
  <c r="C50" i="9"/>
  <c r="E50" i="9" s="1"/>
  <c r="C119" i="9" s="1"/>
  <c r="E34" i="9"/>
  <c r="C116" i="9"/>
  <c r="D144" i="9"/>
  <c r="F16" i="9"/>
  <c r="F20" i="9"/>
  <c r="F24" i="9"/>
  <c r="F17" i="9"/>
  <c r="F21" i="9"/>
  <c r="F25" i="9"/>
  <c r="F14" i="9"/>
  <c r="F18" i="9"/>
  <c r="C123" i="8"/>
  <c r="C122" i="8"/>
  <c r="C121" i="8"/>
  <c r="C120" i="8"/>
  <c r="C118" i="8"/>
  <c r="D104" i="8"/>
  <c r="D108" i="8" s="1"/>
  <c r="D111" i="8" s="1"/>
  <c r="C124" i="8" s="1"/>
  <c r="F70" i="8"/>
  <c r="F69" i="8"/>
  <c r="F68" i="8"/>
  <c r="F67" i="8"/>
  <c r="C50" i="8"/>
  <c r="E50" i="8" s="1"/>
  <c r="C119" i="8" s="1"/>
  <c r="E26" i="8"/>
  <c r="F25" i="8" s="1"/>
  <c r="C26" i="8"/>
  <c r="C28" i="8" s="1"/>
  <c r="F22" i="8"/>
  <c r="F19" i="8"/>
  <c r="F18" i="8"/>
  <c r="F15" i="8"/>
  <c r="F14" i="8"/>
  <c r="C123" i="7"/>
  <c r="C122" i="7"/>
  <c r="C121" i="7"/>
  <c r="C120" i="7"/>
  <c r="C118" i="7"/>
  <c r="D104" i="7"/>
  <c r="D108" i="7" s="1"/>
  <c r="D111" i="7" s="1"/>
  <c r="C124" i="7" s="1"/>
  <c r="F70" i="7"/>
  <c r="F69" i="7"/>
  <c r="F68" i="7"/>
  <c r="F67" i="7"/>
  <c r="C50" i="7"/>
  <c r="E50" i="7" s="1"/>
  <c r="C119" i="7" s="1"/>
  <c r="E26" i="7"/>
  <c r="C26" i="7"/>
  <c r="C28" i="7" s="1"/>
  <c r="F25" i="7"/>
  <c r="F24" i="7"/>
  <c r="F23" i="7"/>
  <c r="F22" i="7"/>
  <c r="F21" i="7"/>
  <c r="F20" i="7"/>
  <c r="F19" i="7"/>
  <c r="F18" i="7"/>
  <c r="F17" i="7"/>
  <c r="F16" i="7"/>
  <c r="F15" i="7"/>
  <c r="F14" i="7"/>
  <c r="D134" i="11" l="1"/>
  <c r="B153" i="11" s="1"/>
  <c r="B144" i="11"/>
  <c r="B154" i="11"/>
  <c r="E154" i="11" s="1"/>
  <c r="B144" i="10"/>
  <c r="B154" i="10"/>
  <c r="E154" i="10" s="1"/>
  <c r="B153" i="10"/>
  <c r="B134" i="10"/>
  <c r="F26" i="9"/>
  <c r="F28" i="9" s="1"/>
  <c r="E33" i="9" s="1"/>
  <c r="G34" i="9" s="1"/>
  <c r="C117" i="9" s="1"/>
  <c r="D134" i="9" s="1"/>
  <c r="B154" i="9"/>
  <c r="E154" i="9" s="1"/>
  <c r="B144" i="9"/>
  <c r="E34" i="8"/>
  <c r="C116" i="8"/>
  <c r="D144" i="8" s="1"/>
  <c r="F16" i="8"/>
  <c r="F20" i="8"/>
  <c r="F24" i="8"/>
  <c r="F23" i="8"/>
  <c r="F17" i="8"/>
  <c r="F21" i="8"/>
  <c r="F26" i="7"/>
  <c r="F28" i="7" s="1"/>
  <c r="E33" i="7" s="1"/>
  <c r="E34" i="7"/>
  <c r="G34" i="7" s="1"/>
  <c r="C117" i="7" s="1"/>
  <c r="C116" i="7"/>
  <c r="D144" i="7" s="1"/>
  <c r="B134" i="11" l="1"/>
  <c r="E153" i="11"/>
  <c r="E156" i="11" s="1"/>
  <c r="B156" i="11"/>
  <c r="E153" i="10"/>
  <c r="E156" i="10" s="1"/>
  <c r="B156" i="10"/>
  <c r="B153" i="9"/>
  <c r="B134" i="9"/>
  <c r="F26" i="8"/>
  <c r="F28" i="8" s="1"/>
  <c r="E33" i="8" s="1"/>
  <c r="G34" i="8" s="1"/>
  <c r="C117" i="8" s="1"/>
  <c r="D134" i="8" s="1"/>
  <c r="B144" i="8"/>
  <c r="B154" i="8"/>
  <c r="E154" i="8" s="1"/>
  <c r="B154" i="7"/>
  <c r="E154" i="7" s="1"/>
  <c r="B144" i="7"/>
  <c r="D134" i="7"/>
  <c r="E153" i="9" l="1"/>
  <c r="E156" i="9" s="1"/>
  <c r="B156" i="9"/>
  <c r="B153" i="8"/>
  <c r="B134" i="8"/>
  <c r="B153" i="7"/>
  <c r="B134" i="7"/>
  <c r="E153" i="8" l="1"/>
  <c r="E156" i="8" s="1"/>
  <c r="B156" i="8"/>
  <c r="E153" i="7"/>
  <c r="E156" i="7" s="1"/>
  <c r="B156" i="7"/>
  <c r="C123" i="1" l="1"/>
  <c r="C121" i="1"/>
  <c r="D104" i="1"/>
  <c r="D108" i="1" s="1"/>
  <c r="D111" i="1" s="1"/>
  <c r="C124" i="1" s="1"/>
  <c r="C122" i="1"/>
  <c r="F68" i="1"/>
  <c r="F67" i="1"/>
  <c r="C120" i="1"/>
  <c r="C118" i="1"/>
  <c r="E26" i="1"/>
  <c r="F25" i="1" s="1"/>
  <c r="C26" i="1"/>
  <c r="C28" i="1" s="1"/>
  <c r="F69" i="1" l="1"/>
  <c r="F17" i="1"/>
  <c r="F22" i="1"/>
  <c r="F14" i="1"/>
  <c r="F18" i="1"/>
  <c r="F23" i="1"/>
  <c r="F15" i="1"/>
  <c r="F19" i="1"/>
  <c r="F24" i="1"/>
  <c r="F16" i="1"/>
  <c r="F21" i="1"/>
  <c r="C116" i="1"/>
  <c r="D144" i="1" s="1"/>
  <c r="E34" i="1"/>
  <c r="F20" i="1"/>
  <c r="C50" i="1"/>
  <c r="E50" i="1" s="1"/>
  <c r="C119" i="1" s="1"/>
  <c r="F70" i="1"/>
  <c r="F26" i="1" l="1"/>
  <c r="F28" i="1" s="1"/>
  <c r="E33" i="1" s="1"/>
  <c r="G34" i="1" s="1"/>
  <c r="C117" i="1" s="1"/>
  <c r="D134" i="1" s="1"/>
  <c r="B154" i="1"/>
  <c r="E154" i="1" s="1"/>
  <c r="B144" i="1"/>
  <c r="B153" i="1" l="1"/>
  <c r="B134" i="1"/>
  <c r="E153" i="1" l="1"/>
  <c r="B156" i="1"/>
  <c r="E156" i="1" l="1"/>
</calcChain>
</file>

<file path=xl/sharedStrings.xml><?xml version="1.0" encoding="utf-8"?>
<sst xmlns="http://schemas.openxmlformats.org/spreadsheetml/2006/main" count="714" uniqueCount="168">
  <si>
    <t>LG&amp;E</t>
  </si>
  <si>
    <t>Components of the Formula</t>
  </si>
  <si>
    <t>Days in Month</t>
  </si>
  <si>
    <t>PREV DEC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</si>
  <si>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</si>
  <si>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</si>
  <si>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</si>
  <si>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</si>
  <si>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</si>
  <si>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</si>
  <si>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</si>
  <si>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</si>
  <si>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</si>
  <si>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</si>
  <si>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</si>
  <si>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</si>
  <si>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Total 2021</t>
  </si>
  <si>
    <t>/12 = S</t>
  </si>
  <si>
    <t>/12=AVG. REQUIRED</t>
  </si>
  <si>
    <t xml:space="preserve">S = </t>
  </si>
  <si>
    <t>AVERAGE</t>
  </si>
  <si>
    <t>s</t>
  </si>
  <si>
    <t>Short Term Debt Interest Rate</t>
  </si>
  <si>
    <t>CALCULATION:</t>
  </si>
  <si>
    <t>Interest Requirements</t>
  </si>
  <si>
    <t>Short Term Debt</t>
  </si>
  <si>
    <t xml:space="preserve">    s =</t>
  </si>
  <si>
    <t xml:space="preserve">D </t>
  </si>
  <si>
    <t>Long Term Debt</t>
  </si>
  <si>
    <t>D  =</t>
  </si>
  <si>
    <t xml:space="preserve">d  </t>
  </si>
  <si>
    <t>Long Term Debt Interest Rate</t>
  </si>
  <si>
    <t>Amount</t>
  </si>
  <si>
    <t>Provision</t>
  </si>
  <si>
    <t>Total</t>
  </si>
  <si>
    <t>Divided By "D"</t>
  </si>
  <si>
    <t xml:space="preserve">P </t>
  </si>
  <si>
    <t xml:space="preserve">Preferred Stock </t>
  </si>
  <si>
    <t>The balance as of the prior year end, adjusted for any associated expenses, premiums or discounts.</t>
  </si>
  <si>
    <t>p</t>
  </si>
  <si>
    <t xml:space="preserve">Preferred Stock Cost Rate </t>
  </si>
  <si>
    <t>P - Preferred Stock</t>
  </si>
  <si>
    <t>Issue</t>
  </si>
  <si>
    <t>Outstanding</t>
  </si>
  <si>
    <t>Rate</t>
  </si>
  <si>
    <t>Divided by "P"</t>
  </si>
  <si>
    <t xml:space="preserve">C </t>
  </si>
  <si>
    <t>Common Stock Equity</t>
  </si>
  <si>
    <t>C =</t>
  </si>
  <si>
    <t>c</t>
  </si>
  <si>
    <t>Common Equity Cost Rate</t>
  </si>
  <si>
    <t>c =</t>
  </si>
  <si>
    <t xml:space="preserve">W </t>
  </si>
  <si>
    <t>Average Balance in CWIP</t>
  </si>
  <si>
    <t>CWIP Balance</t>
  </si>
  <si>
    <t>(in 000's)</t>
  </si>
  <si>
    <t>/13 = W</t>
  </si>
  <si>
    <t>X 1,000</t>
  </si>
  <si>
    <t>W =</t>
  </si>
  <si>
    <t>CALCULATION OF ESTIMATED RATES FOR 2021</t>
  </si>
  <si>
    <t>S - Avg. Short Term Debt</t>
  </si>
  <si>
    <t>s - Short Term Debt Interest rate</t>
  </si>
  <si>
    <t>D - Long Term Debt</t>
  </si>
  <si>
    <t>d- Long Term debt Interest Rate</t>
  </si>
  <si>
    <t>p - Preferred Stock Cost Rate</t>
  </si>
  <si>
    <t>C - Common Equity</t>
  </si>
  <si>
    <t>c - Common Equity Cost Rate</t>
  </si>
  <si>
    <t>W - Avg CWIP Balance</t>
  </si>
  <si>
    <t xml:space="preserve">     </t>
  </si>
  <si>
    <t>Ai = Gross allowance for borrowed funds used during construction rate.</t>
  </si>
  <si>
    <t>D</t>
  </si>
  <si>
    <t>Ai =</t>
  </si>
  <si>
    <t>s(S/W)    +</t>
  </si>
  <si>
    <t>d (---------------)</t>
  </si>
  <si>
    <t xml:space="preserve"> (1 - S/W)                   </t>
  </si>
  <si>
    <t xml:space="preserve">  D + P + C</t>
  </si>
  <si>
    <t>Ae = Allowance for other funds used during construction rate.</t>
  </si>
  <si>
    <t xml:space="preserve">  P</t>
  </si>
  <si>
    <t>C</t>
  </si>
  <si>
    <t xml:space="preserve">Ae = </t>
  </si>
  <si>
    <t xml:space="preserve"> [1 - S/W]</t>
  </si>
  <si>
    <t>[ p (---------------)</t>
  </si>
  <si>
    <t xml:space="preserve">+  c (-------------------)] </t>
  </si>
  <si>
    <t>D + P + C</t>
  </si>
  <si>
    <t>Total Rate</t>
  </si>
  <si>
    <t>Ae =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</si>
  <si>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</si>
  <si>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</si>
  <si>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</si>
  <si>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</si>
  <si>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</si>
  <si>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</si>
  <si>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</si>
  <si>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</si>
  <si>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</si>
  <si>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</si>
  <si>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</si>
  <si>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</si>
  <si>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Total 2022</t>
  </si>
  <si>
    <t>CALCULATION OF ESTIMATED RATES FOR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</si>
  <si>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</si>
  <si>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</si>
  <si>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</si>
  <si>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</si>
  <si>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</si>
  <si>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</si>
  <si>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</si>
  <si>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</si>
  <si>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</si>
  <si>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</si>
  <si>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</si>
  <si>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</si>
  <si>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CALCULATION OF ESTIMATED RATES FOR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</si>
  <si>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</si>
  <si>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</si>
  <si>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</si>
  <si>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</si>
  <si>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</si>
  <si>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</si>
  <si>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</si>
  <si>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</si>
  <si>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</si>
  <si>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</si>
  <si>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</si>
  <si>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</si>
  <si>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CALCULATION OF ESTIMATED RATES FOR 2024</t>
  </si>
  <si>
    <t>Jan 2025</t>
  </si>
  <si>
    <t>Feb 2025</t>
  </si>
  <si>
    <t>Mar 2025</t>
  </si>
  <si>
    <t>Apr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</si>
  <si>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</si>
  <si>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</si>
  <si>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</si>
  <si>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</si>
  <si>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</si>
  <si>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</si>
  <si>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</si>
  <si>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</si>
  <si>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CALCULATION OF ESTIMATED RATES FOR 2025</t>
  </si>
  <si>
    <t>CALCULATION OF ESTIMATED RATES FOR 2026</t>
  </si>
  <si>
    <t>YE 2025</t>
  </si>
  <si>
    <t>FY 2025</t>
  </si>
  <si>
    <t>Calculation of AFUDC Rates</t>
  </si>
  <si>
    <t>2021 Estimate</t>
  </si>
  <si>
    <t>Calculation of  AFUDC Rates  -----  2021 Estimate</t>
  </si>
  <si>
    <t xml:space="preserve">S  </t>
  </si>
  <si>
    <t xml:space="preserve">Average (12 month) Short Term Debt </t>
  </si>
  <si>
    <t>The balance of common stock equity as of the prior year end.</t>
  </si>
  <si>
    <t>The sum of the balance outstanding (as of the prior year end) per issue, times the rate per issue, divided by P - Preferred Stock.</t>
  </si>
  <si>
    <t>The required interest payments for the prior year adjusted for the amortization of premiums, discounts and expenses, divided by D - Long Term Debt.</t>
  </si>
  <si>
    <t>The estimated weighted average of short term debt.</t>
  </si>
  <si>
    <t>Total Long Term Debt as of the prior year end.</t>
  </si>
  <si>
    <t xml:space="preserve">P = </t>
  </si>
  <si>
    <t>p =</t>
  </si>
  <si>
    <t>d =</t>
  </si>
  <si>
    <t>Calculation of  AFUDC Rates  -----  2022 Estimate</t>
  </si>
  <si>
    <t>2023 Estimate</t>
  </si>
  <si>
    <t>Calculation of  AFUDC Rates  -----  2023 Estimate</t>
  </si>
  <si>
    <t>2024 Estimate</t>
  </si>
  <si>
    <t>Calculation of  AFUDC Rates  -----  2024 Estimate</t>
  </si>
  <si>
    <t>2025 Estimate</t>
  </si>
  <si>
    <t>Calculation of  AFUDC Rates  -----  2025 Estimate</t>
  </si>
  <si>
    <t>2026 Estimate</t>
  </si>
  <si>
    <t>Calculation of  AFUDC Rates  -----  2026 Estimate</t>
  </si>
  <si>
    <t>2022 Estimate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</si>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</sst>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"/>
    <numFmt numFmtId="167" formatCode="0.000000%"/>
    <numFmt numFmtId="168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ck">
        <color indexed="0"/>
      </left>
      <right/>
      <top/>
      <bottom/>
      <diagonal/>
    </border>
    <border>
      <left/>
      <right/>
      <top style="thick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  <xf numFmtId="10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 applyFill="1" applyAlignment="1"/>
    <xf numFmtId="4" fontId="3" fillId="0" borderId="0" xfId="3" applyNumberFormat="1" applyFont="1" applyFill="1" applyAlignment="1" applyProtection="1">
      <protection locked="0"/>
    </xf>
    <xf numFmtId="0" fontId="3" fillId="0" borderId="0" xfId="3" quotePrefix="1" applyFont="1" applyFill="1" applyAlignment="1">
      <alignment horizontal="left"/>
    </xf>
    <xf numFmtId="0" fontId="3" fillId="0" borderId="1" xfId="3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4" fontId="3" fillId="0" borderId="0" xfId="3" applyNumberFormat="1" applyFont="1" applyFill="1" applyAlignment="1"/>
    <xf numFmtId="164" fontId="3" fillId="0" borderId="0" xfId="1" applyNumberFormat="1" applyFont="1" applyFill="1" applyAlignment="1"/>
    <xf numFmtId="3" fontId="3" fillId="0" borderId="2" xfId="3" applyNumberFormat="1" applyFont="1" applyFill="1" applyBorder="1" applyAlignment="1"/>
    <xf numFmtId="3" fontId="3" fillId="0" borderId="5" xfId="3" applyNumberFormat="1" applyFont="1" applyFill="1" applyBorder="1" applyAlignment="1"/>
    <xf numFmtId="0" fontId="3" fillId="0" borderId="0" xfId="3" applyFont="1" applyFill="1" applyBorder="1" applyAlignment="1"/>
    <xf numFmtId="0" fontId="3" fillId="0" borderId="3" xfId="3" applyFont="1" applyFill="1" applyBorder="1" applyAlignment="1"/>
    <xf numFmtId="0" fontId="3" fillId="0" borderId="4" xfId="3" applyFont="1" applyFill="1" applyBorder="1" applyAlignment="1"/>
    <xf numFmtId="3" fontId="3" fillId="0" borderId="0" xfId="3" applyNumberFormat="1" applyFont="1" applyFill="1" applyAlignment="1"/>
    <xf numFmtId="0" fontId="3" fillId="0" borderId="0" xfId="3" applyFont="1" applyFill="1" applyAlignment="1">
      <alignment horizontal="right"/>
    </xf>
    <xf numFmtId="0" fontId="3" fillId="0" borderId="5" xfId="3" applyFont="1" applyFill="1" applyBorder="1" applyAlignment="1"/>
    <xf numFmtId="3" fontId="3" fillId="0" borderId="0" xfId="3" applyNumberFormat="1" applyFont="1" applyFill="1" applyBorder="1" applyAlignment="1"/>
    <xf numFmtId="0" fontId="3" fillId="0" borderId="0" xfId="3" quotePrefix="1" applyFont="1" applyFill="1" applyAlignment="1">
      <alignment horizontal="center"/>
    </xf>
    <xf numFmtId="0" fontId="3" fillId="0" borderId="1" xfId="3" applyFont="1" applyFill="1" applyBorder="1" applyAlignment="1"/>
    <xf numFmtId="3" fontId="3" fillId="0" borderId="5" xfId="3" applyNumberFormat="1" applyFont="1" applyFill="1" applyBorder="1" applyAlignment="1">
      <alignment horizontal="center"/>
    </xf>
    <xf numFmtId="3" fontId="3" fillId="0" borderId="0" xfId="3" applyNumberFormat="1" applyFont="1" applyFill="1" applyAlignment="1">
      <alignment horizontal="center"/>
    </xf>
    <xf numFmtId="165" fontId="3" fillId="0" borderId="0" xfId="3" applyNumberFormat="1" applyFont="1" applyFill="1" applyAlignment="1"/>
    <xf numFmtId="10" fontId="3" fillId="0" borderId="0" xfId="3" applyNumberFormat="1" applyFont="1" applyFill="1" applyAlignment="1"/>
    <xf numFmtId="0" fontId="3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left"/>
    </xf>
    <xf numFmtId="166" fontId="3" fillId="0" borderId="0" xfId="3" applyNumberFormat="1" applyFont="1" applyFill="1" applyAlignment="1"/>
    <xf numFmtId="10" fontId="3" fillId="0" borderId="0" xfId="4" applyFont="1" applyFill="1" applyAlignment="1"/>
    <xf numFmtId="0" fontId="3" fillId="0" borderId="2" xfId="3" applyFont="1" applyFill="1" applyBorder="1" applyAlignment="1"/>
    <xf numFmtId="0" fontId="3" fillId="0" borderId="0" xfId="3" quotePrefix="1" applyFont="1" applyFill="1" applyAlignment="1">
      <alignment horizontal="right"/>
    </xf>
    <xf numFmtId="10" fontId="3" fillId="0" borderId="0" xfId="4" applyFont="1" applyFill="1"/>
    <xf numFmtId="10" fontId="3" fillId="0" borderId="2" xfId="3" applyNumberFormat="1" applyFont="1" applyFill="1" applyBorder="1" applyAlignment="1"/>
    <xf numFmtId="10" fontId="3" fillId="0" borderId="6" xfId="4" applyFont="1" applyFill="1" applyBorder="1"/>
    <xf numFmtId="167" fontId="3" fillId="0" borderId="6" xfId="3" applyNumberFormat="1" applyFont="1" applyFill="1" applyBorder="1" applyAlignment="1"/>
    <xf numFmtId="0" fontId="3" fillId="0" borderId="7" xfId="3" applyFont="1" applyFill="1" applyBorder="1" applyAlignment="1"/>
    <xf numFmtId="167" fontId="3" fillId="0" borderId="0" xfId="4" applyNumberFormat="1" applyFont="1" applyFill="1"/>
    <xf numFmtId="10" fontId="3" fillId="0" borderId="0" xfId="2" applyNumberFormat="1" applyFont="1" applyFill="1" applyBorder="1" applyAlignment="1"/>
    <xf numFmtId="43" fontId="3" fillId="0" borderId="5" xfId="1" applyFont="1" applyFill="1" applyBorder="1" applyAlignment="1">
      <alignment horizontal="center"/>
    </xf>
    <xf numFmtId="0" fontId="2" fillId="0" borderId="0" xfId="3" applyFont="1" applyFill="1" applyAlignment="1"/>
    <xf numFmtId="167" fontId="4" fillId="0" borderId="0" xfId="4" applyNumberFormat="1" applyFont="1" applyFill="1"/>
    <xf numFmtId="167" fontId="3" fillId="0" borderId="0" xfId="4" applyNumberFormat="1" applyFont="1" applyFill="1" applyAlignment="1"/>
    <xf numFmtId="167" fontId="4" fillId="0" borderId="1" xfId="4" applyNumberFormat="1" applyFont="1" applyFill="1" applyBorder="1"/>
    <xf numFmtId="168" fontId="3" fillId="0" borderId="5" xfId="3" applyNumberFormat="1" applyFont="1" applyFill="1" applyBorder="1" applyAlignment="1"/>
    <xf numFmtId="43" fontId="3" fillId="0" borderId="0" xfId="1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2" fillId="0" borderId="0" xfId="3" quotePrefix="1" applyFont="1" applyFill="1" applyAlignment="1">
      <alignment horizontal="center"/>
    </xf>
    <xf numFmtId="49" fontId="2" fillId="0" borderId="0" xfId="3" quotePrefix="1" applyNumberFormat="1" applyFont="1" applyFill="1" applyAlignment="1">
      <alignment horizontal="center"/>
    </xf>
    <xf numFmtId="3" fontId="3" fillId="0" borderId="1" xfId="3" applyNumberFormat="1" applyFont="1" applyFill="1" applyBorder="1" applyAlignment="1"/>
  </cellXfs>
  <cellStyles count="5">
    <cellStyle name="Comma" xfId="1" builtinId="3"/>
    <cellStyle name="Normal" xfId="0" builtinId="0"/>
    <cellStyle name="Normal 2" xfId="3" xr:uid="{AC2F8EF1-D0D2-46A8-9AA9-84B587FDAE40}"/>
    <cellStyle name="Percent" xfId="2" builtinId="5"/>
    <cellStyle name="Percent 2" xfId="4" xr:uid="{7BB5E3B0-1376-4FBC-96D4-288F3403F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31BB-DDEC-49BA-94A0-21BF36A0AD52}">
  <dimension ref="A1:V157"/>
  <sheetViews>
    <sheetView showGridLines="0" tabSelected="1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143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144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>
        <v>267801452.66125301</v>
      </c>
    </row>
    <row r="14" spans="1:22" x14ac:dyDescent="0.2">
      <c r="A14" s="2">
        <v>2</v>
      </c>
      <c r="B14" s="4" t="s">
        <v>4</v>
      </c>
      <c r="C14" s="14">
        <v>258626313.981406</v>
      </c>
      <c r="D14" s="36">
        <v>4.7895000000000004E-3</v>
      </c>
      <c r="E14" s="6">
        <v>30</v>
      </c>
      <c r="F14" s="7">
        <f t="shared" ref="F14:F25" si="0">C14*D14*(E14/E$26)</f>
        <v>103224.22756782868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5</v>
      </c>
      <c r="C15" s="14">
        <v>242820500.41959399</v>
      </c>
      <c r="D15" s="36">
        <v>4.8253666666666674E-3</v>
      </c>
      <c r="E15" s="6">
        <v>30</v>
      </c>
      <c r="F15" s="7">
        <f t="shared" si="0"/>
        <v>97641.495725669025</v>
      </c>
    </row>
    <row r="16" spans="1:22" x14ac:dyDescent="0.2">
      <c r="A16" s="2">
        <v>4</v>
      </c>
      <c r="B16" s="4" t="s">
        <v>6</v>
      </c>
      <c r="C16" s="14">
        <v>284207191.91590601</v>
      </c>
      <c r="D16" s="36">
        <v>4.5664333333333201E-3</v>
      </c>
      <c r="E16" s="6">
        <v>30</v>
      </c>
      <c r="F16" s="7">
        <f t="shared" si="0"/>
        <v>108151.09956148776</v>
      </c>
    </row>
    <row r="17" spans="1:7" x14ac:dyDescent="0.2">
      <c r="A17" s="2">
        <v>5</v>
      </c>
      <c r="B17" s="4" t="s">
        <v>7</v>
      </c>
      <c r="C17" s="14">
        <v>315236679.72451001</v>
      </c>
      <c r="D17" s="36">
        <v>4.2412999999999921E-3</v>
      </c>
      <c r="E17" s="6">
        <v>30</v>
      </c>
      <c r="F17" s="7">
        <f t="shared" si="0"/>
        <v>111417.77747629682</v>
      </c>
    </row>
    <row r="18" spans="1:7" x14ac:dyDescent="0.2">
      <c r="A18" s="2">
        <v>6</v>
      </c>
      <c r="B18" s="4" t="s">
        <v>8</v>
      </c>
      <c r="C18" s="14">
        <v>316078542.49489802</v>
      </c>
      <c r="D18" s="36">
        <v>4.1818666666666683E-3</v>
      </c>
      <c r="E18" s="6">
        <v>30</v>
      </c>
      <c r="F18" s="7">
        <f t="shared" si="0"/>
        <v>110149.86007566651</v>
      </c>
    </row>
    <row r="19" spans="1:7" x14ac:dyDescent="0.2">
      <c r="A19" s="2">
        <v>7</v>
      </c>
      <c r="B19" s="4" t="s">
        <v>9</v>
      </c>
      <c r="C19" s="14">
        <v>26745398.203282502</v>
      </c>
      <c r="D19" s="36">
        <v>4.1558333333333282E-3</v>
      </c>
      <c r="E19" s="6">
        <v>30</v>
      </c>
      <c r="F19" s="7">
        <f t="shared" si="0"/>
        <v>9262.4514472062256</v>
      </c>
    </row>
    <row r="20" spans="1:7" x14ac:dyDescent="0.2">
      <c r="A20" s="2">
        <v>8</v>
      </c>
      <c r="B20" s="4" t="s">
        <v>10</v>
      </c>
      <c r="C20" s="14">
        <v>11378758.3437858</v>
      </c>
      <c r="D20" s="36">
        <v>4.4781000000000005E-3</v>
      </c>
      <c r="E20" s="6">
        <v>30</v>
      </c>
      <c r="F20" s="7">
        <f t="shared" si="0"/>
        <v>4246.2681449422662</v>
      </c>
    </row>
    <row r="21" spans="1:7" x14ac:dyDescent="0.2">
      <c r="A21" s="2">
        <v>9</v>
      </c>
      <c r="B21" s="4" t="s">
        <v>11</v>
      </c>
      <c r="C21" s="14">
        <v>0</v>
      </c>
      <c r="D21" s="36">
        <v>4.42176666666666E-3</v>
      </c>
      <c r="E21" s="6">
        <v>30</v>
      </c>
      <c r="F21" s="7">
        <f t="shared" si="0"/>
        <v>0</v>
      </c>
    </row>
    <row r="22" spans="1:7" x14ac:dyDescent="0.2">
      <c r="A22" s="2">
        <v>10</v>
      </c>
      <c r="B22" s="4" t="s">
        <v>12</v>
      </c>
      <c r="C22" s="14">
        <v>47158762.151372202</v>
      </c>
      <c r="D22" s="36">
        <v>4.4662333333333202E-3</v>
      </c>
      <c r="E22" s="6">
        <v>30</v>
      </c>
      <c r="F22" s="7">
        <f t="shared" si="0"/>
        <v>17551.836289933024</v>
      </c>
    </row>
    <row r="23" spans="1:7" x14ac:dyDescent="0.2">
      <c r="A23" s="2">
        <v>11</v>
      </c>
      <c r="B23" s="4" t="s">
        <v>13</v>
      </c>
      <c r="C23" s="14">
        <v>76519571.707685798</v>
      </c>
      <c r="D23" s="36">
        <v>4.5400999999999922E-3</v>
      </c>
      <c r="E23" s="6">
        <v>30</v>
      </c>
      <c r="F23" s="7">
        <f t="shared" si="0"/>
        <v>28950.542292505306</v>
      </c>
    </row>
    <row r="24" spans="1:7" x14ac:dyDescent="0.2">
      <c r="A24" s="2">
        <v>12</v>
      </c>
      <c r="B24" s="4" t="s">
        <v>14</v>
      </c>
      <c r="C24" s="14">
        <v>94802646.548597604</v>
      </c>
      <c r="D24" s="36">
        <v>4.4970666666666603E-3</v>
      </c>
      <c r="E24" s="6">
        <v>30</v>
      </c>
      <c r="F24" s="7">
        <f t="shared" si="0"/>
        <v>35527.818475456617</v>
      </c>
    </row>
    <row r="25" spans="1:7" x14ac:dyDescent="0.2">
      <c r="A25" s="2">
        <v>13</v>
      </c>
      <c r="B25" s="4" t="s">
        <v>15</v>
      </c>
      <c r="C25" s="14">
        <v>99426718.697988495</v>
      </c>
      <c r="D25" s="36">
        <v>4.6713333333333242E-3</v>
      </c>
      <c r="E25" s="6">
        <v>30</v>
      </c>
      <c r="F25" s="7">
        <f t="shared" si="0"/>
        <v>38704.612106489112</v>
      </c>
    </row>
    <row r="26" spans="1:7" x14ac:dyDescent="0.2">
      <c r="B26" s="4" t="s">
        <v>16</v>
      </c>
      <c r="C26" s="9">
        <f>SUM(C14:C25)</f>
        <v>1773001084.1890264</v>
      </c>
      <c r="D26" s="2" t="s">
        <v>17</v>
      </c>
      <c r="E26" s="6">
        <f>SUM(E14:E25)</f>
        <v>360</v>
      </c>
      <c r="F26" s="7">
        <f>SUM(F14:F25)</f>
        <v>664827.98916348128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f>C26/12</f>
        <v>147750090.34908554</v>
      </c>
      <c r="D28" s="11"/>
      <c r="F28" s="7">
        <f>ROUND(+F26/12,2)</f>
        <v>55402.33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55402.33</v>
      </c>
    </row>
    <row r="34" spans="1:8" ht="13.5" thickBot="1" x14ac:dyDescent="0.25">
      <c r="C34" s="2" t="s">
        <v>25</v>
      </c>
      <c r="E34" s="9">
        <f>C28</f>
        <v>147750090.34908554</v>
      </c>
      <c r="F34" s="6" t="s">
        <v>26</v>
      </c>
      <c r="G34" s="42">
        <f>IF(E34=0,0,ROUND(E33/E34*12,5))</f>
        <v>4.4999999999999997E-3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2024200000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81659008.002510101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2024200000</v>
      </c>
      <c r="D50" s="15" t="s">
        <v>154</v>
      </c>
      <c r="E50" s="16">
        <f>ROUND(+C48/C50,5)</f>
        <v>4.0340000000000001E-2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2567038962.8674698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>
        <v>187639.61502</v>
      </c>
      <c r="E91" s="14"/>
      <c r="F91" s="14"/>
    </row>
    <row r="92" spans="1:6" x14ac:dyDescent="0.2">
      <c r="B92" s="2">
        <v>2</v>
      </c>
      <c r="C92" s="4" t="s">
        <v>4</v>
      </c>
      <c r="D92" s="14">
        <v>202671.00698296601</v>
      </c>
      <c r="E92" s="14"/>
      <c r="F92" s="14"/>
    </row>
    <row r="93" spans="1:6" x14ac:dyDescent="0.2">
      <c r="B93" s="2">
        <v>3</v>
      </c>
      <c r="C93" s="4" t="s">
        <v>5</v>
      </c>
      <c r="D93" s="14">
        <v>229134.77229593301</v>
      </c>
      <c r="E93" s="14"/>
      <c r="F93" s="14"/>
    </row>
    <row r="94" spans="1:6" x14ac:dyDescent="0.2">
      <c r="B94" s="2">
        <v>4</v>
      </c>
      <c r="C94" s="4" t="s">
        <v>6</v>
      </c>
      <c r="D94" s="14">
        <v>243440.691198899</v>
      </c>
      <c r="E94" s="14"/>
      <c r="F94" s="14"/>
    </row>
    <row r="95" spans="1:6" x14ac:dyDescent="0.2">
      <c r="B95" s="2">
        <v>5</v>
      </c>
      <c r="C95" s="4" t="s">
        <v>7</v>
      </c>
      <c r="D95" s="14">
        <v>231979.21568186599</v>
      </c>
      <c r="E95" s="14"/>
      <c r="F95" s="14"/>
    </row>
    <row r="96" spans="1:6" x14ac:dyDescent="0.2">
      <c r="B96" s="2">
        <v>6</v>
      </c>
      <c r="C96" s="4" t="s">
        <v>8</v>
      </c>
      <c r="D96" s="14">
        <v>248050.46413483299</v>
      </c>
      <c r="E96" s="14"/>
      <c r="F96" s="14"/>
    </row>
    <row r="97" spans="2:6" x14ac:dyDescent="0.2">
      <c r="B97" s="2">
        <v>7</v>
      </c>
      <c r="C97" s="4" t="s">
        <v>9</v>
      </c>
      <c r="D97" s="14">
        <v>260753.72336819899</v>
      </c>
      <c r="E97" s="14"/>
      <c r="F97" s="14"/>
    </row>
    <row r="98" spans="2:6" x14ac:dyDescent="0.2">
      <c r="B98" s="2">
        <v>8</v>
      </c>
      <c r="C98" s="4" t="s">
        <v>10</v>
      </c>
      <c r="D98" s="14">
        <v>292515.88635156601</v>
      </c>
      <c r="E98" s="14"/>
      <c r="F98" s="14"/>
    </row>
    <row r="99" spans="2:6" x14ac:dyDescent="0.2">
      <c r="B99" s="2">
        <v>9</v>
      </c>
      <c r="C99" s="4" t="s">
        <v>11</v>
      </c>
      <c r="D99" s="14">
        <v>316904.17555493297</v>
      </c>
      <c r="E99" s="14"/>
      <c r="F99" s="14"/>
    </row>
    <row r="100" spans="2:6" x14ac:dyDescent="0.2">
      <c r="B100" s="2">
        <v>10</v>
      </c>
      <c r="C100" s="4" t="s">
        <v>12</v>
      </c>
      <c r="D100" s="14">
        <v>330259.05375829898</v>
      </c>
      <c r="E100" s="14"/>
      <c r="F100" s="14"/>
    </row>
    <row r="101" spans="2:6" x14ac:dyDescent="0.2">
      <c r="B101" s="2">
        <v>11</v>
      </c>
      <c r="C101" s="4" t="s">
        <v>13</v>
      </c>
      <c r="D101" s="14">
        <v>295783.54985166603</v>
      </c>
      <c r="E101" s="14"/>
      <c r="F101" s="14"/>
    </row>
    <row r="102" spans="2:6" x14ac:dyDescent="0.2">
      <c r="B102" s="2">
        <v>12</v>
      </c>
      <c r="C102" s="4" t="s">
        <v>14</v>
      </c>
      <c r="D102" s="14">
        <v>285912.464385033</v>
      </c>
      <c r="E102" s="14"/>
      <c r="F102" s="14"/>
    </row>
    <row r="103" spans="2:6" x14ac:dyDescent="0.2">
      <c r="B103" s="2">
        <v>13</v>
      </c>
      <c r="C103" s="4" t="s">
        <v>15</v>
      </c>
      <c r="D103" s="47">
        <v>103312.47719839901</v>
      </c>
      <c r="E103" s="14"/>
      <c r="F103" s="14"/>
    </row>
    <row r="104" spans="2:6" x14ac:dyDescent="0.2">
      <c r="C104" s="2" t="s">
        <v>34</v>
      </c>
      <c r="D104" s="14">
        <f>SUM(D91:D103)</f>
        <v>3228357.0957825924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ROUND(D104/13,0)</f>
        <v>248335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248335000</v>
      </c>
      <c r="E111" s="6"/>
      <c r="F111" s="21"/>
    </row>
    <row r="114" spans="1:3" x14ac:dyDescent="0.2">
      <c r="A114" s="4" t="s">
        <v>59</v>
      </c>
    </row>
    <row r="116" spans="1:3" x14ac:dyDescent="0.2">
      <c r="A116" s="4" t="s">
        <v>60</v>
      </c>
      <c r="C116" s="14">
        <f>C28</f>
        <v>147750090.34908554</v>
      </c>
    </row>
    <row r="117" spans="1:3" x14ac:dyDescent="0.2">
      <c r="A117" s="4" t="s">
        <v>61</v>
      </c>
      <c r="C117" s="22">
        <f>G34</f>
        <v>4.4999999999999997E-3</v>
      </c>
    </row>
    <row r="118" spans="1:3" x14ac:dyDescent="0.2">
      <c r="A118" s="4" t="s">
        <v>62</v>
      </c>
      <c r="C118" s="14">
        <f>D41</f>
        <v>2024200000</v>
      </c>
    </row>
    <row r="119" spans="1:3" x14ac:dyDescent="0.2">
      <c r="A119" s="4" t="s">
        <v>63</v>
      </c>
      <c r="C119" s="22">
        <f>E50</f>
        <v>4.0340000000000001E-2</v>
      </c>
    </row>
    <row r="120" spans="1:3" x14ac:dyDescent="0.2">
      <c r="A120" s="4" t="s">
        <v>41</v>
      </c>
      <c r="C120" s="14">
        <f>D57</f>
        <v>0</v>
      </c>
    </row>
    <row r="121" spans="1:3" x14ac:dyDescent="0.2">
      <c r="A121" s="4" t="s">
        <v>64</v>
      </c>
      <c r="C121" s="22">
        <f>F72</f>
        <v>0</v>
      </c>
    </row>
    <row r="122" spans="1:3" x14ac:dyDescent="0.2">
      <c r="A122" s="4" t="s">
        <v>65</v>
      </c>
      <c r="C122" s="14">
        <f>D79</f>
        <v>2567038962.8674698</v>
      </c>
    </row>
    <row r="123" spans="1:3" x14ac:dyDescent="0.2">
      <c r="A123" s="4" t="s">
        <v>66</v>
      </c>
      <c r="C123" s="23">
        <f>D84</f>
        <v>0.1</v>
      </c>
    </row>
    <row r="124" spans="1:3" x14ac:dyDescent="0.2">
      <c r="A124" s="4" t="s">
        <v>67</v>
      </c>
      <c r="C124" s="14">
        <f>D111</f>
        <v>248335000</v>
      </c>
    </row>
    <row r="127" spans="1:3" x14ac:dyDescent="0.2">
      <c r="B127" s="2" t="s">
        <v>68</v>
      </c>
    </row>
    <row r="128" spans="1:3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9.9000000000000008E-3</v>
      </c>
      <c r="D134" s="2">
        <f>(C117*(C116/C124))+C119*(C118/(C118+C120+C122))*(1-(C116/C124))</f>
        <v>9.8810110365499006E-3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2.2599999999999999E-2</v>
      </c>
      <c r="D144" s="2">
        <f>(1-C116/C124)*(C121*(C120/(C118+C120+C122))+C123*(C122/(C118+C120+C122)))</f>
        <v>2.2646310657308408E-2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9.9000000000000008E-3</v>
      </c>
      <c r="C153" s="30">
        <v>1</v>
      </c>
      <c r="D153" s="30">
        <v>1</v>
      </c>
      <c r="E153" s="39">
        <f>+B153*C153*D153</f>
        <v>9.9000000000000008E-3</v>
      </c>
      <c r="G153" s="40"/>
    </row>
    <row r="154" spans="1:7" x14ac:dyDescent="0.2">
      <c r="A154" s="2" t="s">
        <v>85</v>
      </c>
      <c r="B154" s="30">
        <f>ROUND(+D144,4)</f>
        <v>2.2599999999999999E-2</v>
      </c>
      <c r="C154" s="30">
        <v>1</v>
      </c>
      <c r="D154" s="30">
        <v>1</v>
      </c>
      <c r="E154" s="41">
        <f>+B154*C154*D154</f>
        <v>2.2599999999999999E-2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3.2500000000000001E-2</v>
      </c>
      <c r="C156" s="32">
        <v>1</v>
      </c>
      <c r="D156" s="32">
        <v>1</v>
      </c>
      <c r="E156" s="33">
        <f>SUM(E153:E155)</f>
        <v>3.2500000000000001E-2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3749-7424-4D35-AC65-526EDC7D3639}">
  <dimension ref="A1:V157"/>
  <sheetViews>
    <sheetView showGridLines="0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164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155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>
        <v>99426718.697988495</v>
      </c>
    </row>
    <row r="14" spans="1:22" x14ac:dyDescent="0.2">
      <c r="A14" s="2">
        <v>2</v>
      </c>
      <c r="B14" s="4" t="s">
        <v>86</v>
      </c>
      <c r="C14" s="14">
        <v>64269283.885549501</v>
      </c>
      <c r="D14" s="36">
        <v>4.7235999999999962E-3</v>
      </c>
      <c r="E14" s="6">
        <v>30</v>
      </c>
      <c r="F14" s="7">
        <f t="shared" ref="F14:F25" si="0">C14*D14*(E14/E$26)</f>
        <v>25298.532446815112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87</v>
      </c>
      <c r="C15" s="14">
        <v>11990280.8868016</v>
      </c>
      <c r="D15" s="36">
        <v>4.6451666666666638E-3</v>
      </c>
      <c r="E15" s="6">
        <v>30</v>
      </c>
      <c r="F15" s="7">
        <f t="shared" si="0"/>
        <v>4641.4044249450999</v>
      </c>
    </row>
    <row r="16" spans="1:22" x14ac:dyDescent="0.2">
      <c r="A16" s="2">
        <v>4</v>
      </c>
      <c r="B16" s="4" t="s">
        <v>88</v>
      </c>
      <c r="C16" s="14">
        <v>71537514.707106501</v>
      </c>
      <c r="D16" s="36">
        <v>4.6694333333333277E-3</v>
      </c>
      <c r="E16" s="6">
        <v>30</v>
      </c>
      <c r="F16" s="7">
        <f t="shared" si="0"/>
        <v>27836.637979765517</v>
      </c>
    </row>
    <row r="17" spans="1:7" x14ac:dyDescent="0.2">
      <c r="A17" s="2">
        <v>5</v>
      </c>
      <c r="B17" s="4" t="s">
        <v>89</v>
      </c>
      <c r="C17" s="14">
        <v>71595118.8540584</v>
      </c>
      <c r="D17" s="36">
        <v>4.7100999999999966E-3</v>
      </c>
      <c r="E17" s="6">
        <v>30</v>
      </c>
      <c r="F17" s="7">
        <f t="shared" si="0"/>
        <v>28101.680776208352</v>
      </c>
    </row>
    <row r="18" spans="1:7" x14ac:dyDescent="0.2">
      <c r="A18" s="2">
        <v>6</v>
      </c>
      <c r="B18" s="4" t="s">
        <v>90</v>
      </c>
      <c r="C18" s="14">
        <v>40409404.724971302</v>
      </c>
      <c r="D18" s="36">
        <v>4.6680666666666596E-3</v>
      </c>
      <c r="E18" s="6">
        <v>30</v>
      </c>
      <c r="F18" s="7">
        <f t="shared" si="0"/>
        <v>15719.482934706728</v>
      </c>
    </row>
    <row r="19" spans="1:7" x14ac:dyDescent="0.2">
      <c r="A19" s="2">
        <v>7</v>
      </c>
      <c r="B19" s="4" t="s">
        <v>91</v>
      </c>
      <c r="C19" s="14">
        <v>72103286.943305701</v>
      </c>
      <c r="D19" s="36">
        <v>4.6257333333333235E-3</v>
      </c>
      <c r="E19" s="6">
        <v>30</v>
      </c>
      <c r="F19" s="7">
        <f t="shared" si="0"/>
        <v>27794.214821378879</v>
      </c>
    </row>
    <row r="20" spans="1:7" x14ac:dyDescent="0.2">
      <c r="A20" s="2">
        <v>8</v>
      </c>
      <c r="B20" s="4" t="s">
        <v>92</v>
      </c>
      <c r="C20" s="14">
        <v>46447993.563170798</v>
      </c>
      <c r="D20" s="36">
        <v>4.8002999999999995E-3</v>
      </c>
      <c r="E20" s="6">
        <v>30</v>
      </c>
      <c r="F20" s="7">
        <f t="shared" si="0"/>
        <v>18580.358625107394</v>
      </c>
    </row>
    <row r="21" spans="1:7" x14ac:dyDescent="0.2">
      <c r="A21" s="2">
        <v>9</v>
      </c>
      <c r="B21" s="4" t="s">
        <v>93</v>
      </c>
      <c r="C21" s="14">
        <v>5997960.1333451802</v>
      </c>
      <c r="D21" s="36">
        <v>4.8309666666666602E-3</v>
      </c>
      <c r="E21" s="6">
        <v>30</v>
      </c>
      <c r="F21" s="7">
        <f t="shared" si="0"/>
        <v>2414.6621226821735</v>
      </c>
    </row>
    <row r="22" spans="1:7" x14ac:dyDescent="0.2">
      <c r="A22" s="2">
        <v>10</v>
      </c>
      <c r="B22" s="4" t="s">
        <v>94</v>
      </c>
      <c r="C22" s="14">
        <v>65435892.073363103</v>
      </c>
      <c r="D22" s="36">
        <v>4.8193333333333204E-3</v>
      </c>
      <c r="E22" s="6">
        <v>30</v>
      </c>
      <c r="F22" s="7">
        <f t="shared" si="0"/>
        <v>26279.781322130035</v>
      </c>
    </row>
    <row r="23" spans="1:7" x14ac:dyDescent="0.2">
      <c r="A23" s="2">
        <v>11</v>
      </c>
      <c r="B23" s="4" t="s">
        <v>95</v>
      </c>
      <c r="C23" s="14">
        <v>77203466.8606904</v>
      </c>
      <c r="D23" s="36">
        <v>4.8073999999999921E-3</v>
      </c>
      <c r="E23" s="6">
        <v>30</v>
      </c>
      <c r="F23" s="7">
        <f t="shared" si="0"/>
        <v>30928.995548840197</v>
      </c>
    </row>
    <row r="24" spans="1:7" x14ac:dyDescent="0.2">
      <c r="A24" s="2">
        <v>12</v>
      </c>
      <c r="B24" s="4" t="s">
        <v>96</v>
      </c>
      <c r="C24" s="14">
        <v>64316401.163171001</v>
      </c>
      <c r="D24" s="36">
        <v>4.7953666666666677E-3</v>
      </c>
      <c r="E24" s="6">
        <v>30</v>
      </c>
      <c r="F24" s="7">
        <f t="shared" si="0"/>
        <v>25701.727188152625</v>
      </c>
    </row>
    <row r="25" spans="1:7" x14ac:dyDescent="0.2">
      <c r="A25" s="2">
        <v>13</v>
      </c>
      <c r="B25" s="4" t="s">
        <v>97</v>
      </c>
      <c r="C25" s="14">
        <v>85885029.259314299</v>
      </c>
      <c r="D25" s="36">
        <v>4.7832333333333241E-3</v>
      </c>
      <c r="E25" s="6">
        <v>30</v>
      </c>
      <c r="F25" s="7">
        <f t="shared" si="0"/>
        <v>34234.011232288329</v>
      </c>
    </row>
    <row r="26" spans="1:7" x14ac:dyDescent="0.2">
      <c r="B26" s="4" t="s">
        <v>98</v>
      </c>
      <c r="C26" s="9">
        <f>SUM(C14:C25)</f>
        <v>677191633.05484784</v>
      </c>
      <c r="D26" s="2" t="s">
        <v>17</v>
      </c>
      <c r="E26" s="6">
        <f>SUM(E14:E25)</f>
        <v>360</v>
      </c>
      <c r="F26" s="7">
        <f>SUM(F14:F25)</f>
        <v>267531.48942302045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f>C26/12</f>
        <v>56432636.087903984</v>
      </c>
      <c r="D28" s="11"/>
      <c r="F28" s="7">
        <f>ROUND(+F26/12,2)</f>
        <v>22294.29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22294.29</v>
      </c>
    </row>
    <row r="34" spans="1:8" ht="13.5" thickBot="1" x14ac:dyDescent="0.25">
      <c r="C34" s="2" t="s">
        <v>25</v>
      </c>
      <c r="E34" s="9">
        <f>C28</f>
        <v>56432636.087903984</v>
      </c>
      <c r="F34" s="6" t="s">
        <v>26</v>
      </c>
      <c r="G34" s="42">
        <f>IF(E34=0,0,ROUND(E33/E34*12,5))</f>
        <v>4.7400000000000003E-3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2324200000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91592678.960658997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2324200000</v>
      </c>
      <c r="D50" s="15" t="s">
        <v>154</v>
      </c>
      <c r="E50" s="16">
        <f>ROUND(+C48/C50,5)</f>
        <v>3.9410000000000001E-2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2706849619.15979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>
        <v>103312.47719839901</v>
      </c>
      <c r="E91" s="14"/>
      <c r="F91" s="14"/>
    </row>
    <row r="92" spans="1:6" x14ac:dyDescent="0.2">
      <c r="B92" s="2">
        <v>2</v>
      </c>
      <c r="C92" s="4" t="s">
        <v>86</v>
      </c>
      <c r="D92" s="14">
        <v>112126.180928466</v>
      </c>
      <c r="E92" s="14"/>
      <c r="F92" s="14"/>
    </row>
    <row r="93" spans="1:6" x14ac:dyDescent="0.2">
      <c r="B93" s="2">
        <v>3</v>
      </c>
      <c r="C93" s="4" t="s">
        <v>87</v>
      </c>
      <c r="D93" s="14">
        <v>120825.517078533</v>
      </c>
      <c r="E93" s="14"/>
      <c r="F93" s="14"/>
    </row>
    <row r="94" spans="1:6" x14ac:dyDescent="0.2">
      <c r="B94" s="2">
        <v>4</v>
      </c>
      <c r="C94" s="4" t="s">
        <v>88</v>
      </c>
      <c r="D94" s="14">
        <v>126474.00152859899</v>
      </c>
      <c r="E94" s="14"/>
      <c r="F94" s="14"/>
    </row>
    <row r="95" spans="1:6" x14ac:dyDescent="0.2">
      <c r="B95" s="2">
        <v>5</v>
      </c>
      <c r="C95" s="4" t="s">
        <v>89</v>
      </c>
      <c r="D95" s="14">
        <v>139533.21237866601</v>
      </c>
      <c r="E95" s="14"/>
      <c r="F95" s="14"/>
    </row>
    <row r="96" spans="1:6" x14ac:dyDescent="0.2">
      <c r="B96" s="2">
        <v>6</v>
      </c>
      <c r="C96" s="4" t="s">
        <v>90</v>
      </c>
      <c r="D96" s="14">
        <v>150165.917318733</v>
      </c>
      <c r="E96" s="14"/>
      <c r="F96" s="14"/>
    </row>
    <row r="97" spans="2:6" x14ac:dyDescent="0.2">
      <c r="B97" s="2">
        <v>7</v>
      </c>
      <c r="C97" s="4" t="s">
        <v>91</v>
      </c>
      <c r="D97" s="14">
        <v>156627.59310879899</v>
      </c>
      <c r="E97" s="14"/>
      <c r="F97" s="14"/>
    </row>
    <row r="98" spans="2:6" x14ac:dyDescent="0.2">
      <c r="B98" s="2">
        <v>8</v>
      </c>
      <c r="C98" s="4" t="s">
        <v>92</v>
      </c>
      <c r="D98" s="14">
        <v>170000.1229588</v>
      </c>
      <c r="E98" s="14"/>
      <c r="F98" s="14"/>
    </row>
    <row r="99" spans="2:6" x14ac:dyDescent="0.2">
      <c r="B99" s="2">
        <v>9</v>
      </c>
      <c r="C99" s="4" t="s">
        <v>93</v>
      </c>
      <c r="D99" s="14">
        <v>182465.39926879999</v>
      </c>
      <c r="E99" s="14"/>
      <c r="F99" s="14"/>
    </row>
    <row r="100" spans="2:6" x14ac:dyDescent="0.2">
      <c r="B100" s="2">
        <v>10</v>
      </c>
      <c r="C100" s="4" t="s">
        <v>94</v>
      </c>
      <c r="D100" s="14">
        <v>197689.38643879999</v>
      </c>
      <c r="E100" s="14"/>
      <c r="F100" s="14"/>
    </row>
    <row r="101" spans="2:6" x14ac:dyDescent="0.2">
      <c r="B101" s="2">
        <v>11</v>
      </c>
      <c r="C101" s="4" t="s">
        <v>95</v>
      </c>
      <c r="D101" s="14">
        <v>209165.98132879898</v>
      </c>
      <c r="E101" s="14"/>
      <c r="F101" s="14"/>
    </row>
    <row r="102" spans="2:6" x14ac:dyDescent="0.2">
      <c r="B102" s="2">
        <v>12</v>
      </c>
      <c r="C102" s="4" t="s">
        <v>96</v>
      </c>
      <c r="D102" s="14">
        <v>203179.335048799</v>
      </c>
      <c r="E102" s="14"/>
      <c r="F102" s="14"/>
    </row>
    <row r="103" spans="2:6" x14ac:dyDescent="0.2">
      <c r="B103" s="2">
        <v>13</v>
      </c>
      <c r="C103" s="4" t="s">
        <v>97</v>
      </c>
      <c r="D103" s="47">
        <v>162090.4177588</v>
      </c>
      <c r="E103" s="14"/>
      <c r="F103" s="14"/>
    </row>
    <row r="104" spans="2:6" x14ac:dyDescent="0.2">
      <c r="C104" s="2" t="s">
        <v>34</v>
      </c>
      <c r="D104" s="14">
        <f>SUM(D91:D103)</f>
        <v>2033655.5423429927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ROUND(D104/13,0)</f>
        <v>156435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156435000</v>
      </c>
      <c r="E111" s="6"/>
      <c r="F111" s="21"/>
    </row>
    <row r="114" spans="1:3" x14ac:dyDescent="0.2">
      <c r="A114" s="4" t="s">
        <v>99</v>
      </c>
    </row>
    <row r="116" spans="1:3" x14ac:dyDescent="0.2">
      <c r="A116" s="4" t="s">
        <v>60</v>
      </c>
      <c r="C116" s="14">
        <f>C28</f>
        <v>56432636.087903984</v>
      </c>
    </row>
    <row r="117" spans="1:3" x14ac:dyDescent="0.2">
      <c r="A117" s="4" t="s">
        <v>61</v>
      </c>
      <c r="C117" s="22">
        <f>G34</f>
        <v>4.7400000000000003E-3</v>
      </c>
    </row>
    <row r="118" spans="1:3" x14ac:dyDescent="0.2">
      <c r="A118" s="4" t="s">
        <v>62</v>
      </c>
      <c r="C118" s="14">
        <f>D41</f>
        <v>2324200000</v>
      </c>
    </row>
    <row r="119" spans="1:3" x14ac:dyDescent="0.2">
      <c r="A119" s="4" t="s">
        <v>63</v>
      </c>
      <c r="C119" s="22">
        <f>E50</f>
        <v>3.9410000000000001E-2</v>
      </c>
    </row>
    <row r="120" spans="1:3" x14ac:dyDescent="0.2">
      <c r="A120" s="4" t="s">
        <v>41</v>
      </c>
      <c r="C120" s="14">
        <f>D57</f>
        <v>0</v>
      </c>
    </row>
    <row r="121" spans="1:3" x14ac:dyDescent="0.2">
      <c r="A121" s="4" t="s">
        <v>64</v>
      </c>
      <c r="C121" s="22">
        <f>F72</f>
        <v>0</v>
      </c>
    </row>
    <row r="122" spans="1:3" x14ac:dyDescent="0.2">
      <c r="A122" s="4" t="s">
        <v>65</v>
      </c>
      <c r="C122" s="14">
        <f>D79</f>
        <v>2706849619.15979</v>
      </c>
    </row>
    <row r="123" spans="1:3" x14ac:dyDescent="0.2">
      <c r="A123" s="4" t="s">
        <v>66</v>
      </c>
      <c r="C123" s="23">
        <f>D84</f>
        <v>0.1</v>
      </c>
    </row>
    <row r="124" spans="1:3" x14ac:dyDescent="0.2">
      <c r="A124" s="4" t="s">
        <v>67</v>
      </c>
      <c r="C124" s="14">
        <f>D111</f>
        <v>156435000</v>
      </c>
    </row>
    <row r="127" spans="1:3" x14ac:dyDescent="0.2">
      <c r="B127" s="2" t="s">
        <v>68</v>
      </c>
    </row>
    <row r="128" spans="1:3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1.3299999999999999E-2</v>
      </c>
      <c r="D134" s="2">
        <f>(C117*(C116/C124))+C119*(C118/(C118+C120+C122))*(1-(C116/C124))</f>
        <v>1.3348433591921095E-2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3.44E-2</v>
      </c>
      <c r="D144" s="2">
        <f>(1-C116/C124)*(C121*(C120/(C118+C120+C122))+C123*(C122/(C118+C120+C122)))</f>
        <v>3.4393935145956518E-2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1.3299999999999999E-2</v>
      </c>
      <c r="C153" s="30">
        <v>1</v>
      </c>
      <c r="D153" s="30">
        <v>1</v>
      </c>
      <c r="E153" s="39">
        <f>+B153*C153*D153</f>
        <v>1.3299999999999999E-2</v>
      </c>
      <c r="G153" s="40"/>
    </row>
    <row r="154" spans="1:7" x14ac:dyDescent="0.2">
      <c r="A154" s="2" t="s">
        <v>85</v>
      </c>
      <c r="B154" s="30">
        <f>ROUND(+D144,4)</f>
        <v>3.44E-2</v>
      </c>
      <c r="C154" s="30">
        <v>1</v>
      </c>
      <c r="D154" s="30">
        <v>1</v>
      </c>
      <c r="E154" s="41">
        <f>+B154*C154*D154</f>
        <v>3.44E-2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4.7699999999999999E-2</v>
      </c>
      <c r="C156" s="32">
        <v>1</v>
      </c>
      <c r="D156" s="32">
        <v>1</v>
      </c>
      <c r="E156" s="33">
        <f>SUM(E153:E155)</f>
        <v>4.7699999999999999E-2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B9EA-9DDC-4B41-9396-FBCD808A1AC8}">
  <dimension ref="A1:V157"/>
  <sheetViews>
    <sheetView showGridLines="0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156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157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>
        <v>85885029.259314299</v>
      </c>
    </row>
    <row r="14" spans="1:22" x14ac:dyDescent="0.2">
      <c r="A14" s="2">
        <v>2</v>
      </c>
      <c r="B14" s="4" t="s">
        <v>100</v>
      </c>
      <c r="C14" s="14">
        <v>39952833.027402297</v>
      </c>
      <c r="D14" s="36">
        <v>4.7713999999999916E-3</v>
      </c>
      <c r="E14" s="6">
        <v>30</v>
      </c>
      <c r="F14" s="7">
        <f t="shared" ref="F14:F25" si="0">C14*D14*(E14/E$26)</f>
        <v>15885.912292245581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101</v>
      </c>
      <c r="C15" s="14">
        <v>0</v>
      </c>
      <c r="D15" s="36">
        <v>4.780099999999992E-3</v>
      </c>
      <c r="E15" s="6">
        <v>30</v>
      </c>
      <c r="F15" s="7">
        <f t="shared" si="0"/>
        <v>0</v>
      </c>
    </row>
    <row r="16" spans="1:22" x14ac:dyDescent="0.2">
      <c r="A16" s="2">
        <v>4</v>
      </c>
      <c r="B16" s="4" t="s">
        <v>102</v>
      </c>
      <c r="C16" s="14">
        <v>52823425.221701801</v>
      </c>
      <c r="D16" s="36">
        <v>4.7886999999999956E-3</v>
      </c>
      <c r="E16" s="6">
        <v>30</v>
      </c>
      <c r="F16" s="7">
        <f t="shared" si="0"/>
        <v>21079.628029930263</v>
      </c>
    </row>
    <row r="17" spans="1:7" x14ac:dyDescent="0.2">
      <c r="A17" s="2">
        <v>5</v>
      </c>
      <c r="B17" s="4" t="s">
        <v>103</v>
      </c>
      <c r="C17" s="14">
        <v>58196017.627020098</v>
      </c>
      <c r="D17" s="36">
        <v>4.7973E-3</v>
      </c>
      <c r="E17" s="6">
        <v>30</v>
      </c>
      <c r="F17" s="7">
        <f t="shared" si="0"/>
        <v>23265.312946841957</v>
      </c>
    </row>
    <row r="18" spans="1:7" x14ac:dyDescent="0.2">
      <c r="A18" s="2">
        <v>6</v>
      </c>
      <c r="B18" s="4" t="s">
        <v>104</v>
      </c>
      <c r="C18" s="14">
        <v>27625986.6889815</v>
      </c>
      <c r="D18" s="36">
        <v>4.8060999999999954E-3</v>
      </c>
      <c r="E18" s="6">
        <v>30</v>
      </c>
      <c r="F18" s="7">
        <f t="shared" si="0"/>
        <v>11064.437885492822</v>
      </c>
    </row>
    <row r="19" spans="1:7" x14ac:dyDescent="0.2">
      <c r="A19" s="2">
        <v>7</v>
      </c>
      <c r="B19" s="4" t="s">
        <v>105</v>
      </c>
      <c r="C19" s="14">
        <v>55498965.835180096</v>
      </c>
      <c r="D19" s="36">
        <v>4.8151999999999917E-3</v>
      </c>
      <c r="E19" s="6">
        <v>30</v>
      </c>
      <c r="F19" s="7">
        <f t="shared" si="0"/>
        <v>22269.885024129893</v>
      </c>
    </row>
    <row r="20" spans="1:7" x14ac:dyDescent="0.2">
      <c r="A20" s="2">
        <v>8</v>
      </c>
      <c r="B20" s="4" t="s">
        <v>106</v>
      </c>
      <c r="C20" s="14">
        <v>26253293.665546998</v>
      </c>
      <c r="D20" s="36">
        <v>5.6283999999999961E-3</v>
      </c>
      <c r="E20" s="6">
        <v>30</v>
      </c>
      <c r="F20" s="7">
        <f t="shared" si="0"/>
        <v>12313.669838930386</v>
      </c>
    </row>
    <row r="21" spans="1:7" x14ac:dyDescent="0.2">
      <c r="A21" s="2">
        <v>9</v>
      </c>
      <c r="B21" s="4" t="s">
        <v>107</v>
      </c>
      <c r="C21" s="14">
        <v>0</v>
      </c>
      <c r="D21" s="36">
        <v>5.772499999999992E-3</v>
      </c>
      <c r="E21" s="6">
        <v>30</v>
      </c>
      <c r="F21" s="7">
        <f t="shared" si="0"/>
        <v>0</v>
      </c>
    </row>
    <row r="22" spans="1:7" x14ac:dyDescent="0.2">
      <c r="A22" s="2">
        <v>10</v>
      </c>
      <c r="B22" s="4" t="s">
        <v>108</v>
      </c>
      <c r="C22" s="14">
        <v>49908501.838614799</v>
      </c>
      <c r="D22" s="36">
        <v>5.8307999999999997E-3</v>
      </c>
      <c r="E22" s="6">
        <v>30</v>
      </c>
      <c r="F22" s="7">
        <f t="shared" si="0"/>
        <v>24250.541043382927</v>
      </c>
    </row>
    <row r="23" spans="1:7" x14ac:dyDescent="0.2">
      <c r="A23" s="2">
        <v>11</v>
      </c>
      <c r="B23" s="4" t="s">
        <v>109</v>
      </c>
      <c r="C23" s="14">
        <v>64151845.935906902</v>
      </c>
      <c r="D23" s="36">
        <v>5.8900999999999919E-3</v>
      </c>
      <c r="E23" s="6">
        <v>30</v>
      </c>
      <c r="F23" s="7">
        <f t="shared" si="0"/>
        <v>31488.398978923728</v>
      </c>
    </row>
    <row r="24" spans="1:7" x14ac:dyDescent="0.2">
      <c r="A24" s="2">
        <v>12</v>
      </c>
      <c r="B24" s="4" t="s">
        <v>110</v>
      </c>
      <c r="C24" s="14">
        <v>58533925.1061261</v>
      </c>
      <c r="D24" s="36">
        <v>5.950299999999996E-3</v>
      </c>
      <c r="E24" s="6">
        <v>30</v>
      </c>
      <c r="F24" s="7">
        <f t="shared" si="0"/>
        <v>29024.534546581825</v>
      </c>
    </row>
    <row r="25" spans="1:7" x14ac:dyDescent="0.2">
      <c r="A25" s="2">
        <v>13</v>
      </c>
      <c r="B25" s="4" t="s">
        <v>111</v>
      </c>
      <c r="C25" s="14">
        <v>76136924.268819794</v>
      </c>
      <c r="D25" s="36">
        <v>6.0074999999999998E-3</v>
      </c>
      <c r="E25" s="6">
        <v>30</v>
      </c>
      <c r="F25" s="7">
        <f t="shared" si="0"/>
        <v>38116.047712077911</v>
      </c>
    </row>
    <row r="26" spans="1:7" x14ac:dyDescent="0.2">
      <c r="B26" s="4" t="s">
        <v>165</v>
      </c>
      <c r="C26" s="9">
        <f>SUM(C14:C25)</f>
        <v>509081719.21530044</v>
      </c>
      <c r="D26" s="2" t="s">
        <v>17</v>
      </c>
      <c r="E26" s="6">
        <f>SUM(E14:E25)</f>
        <v>360</v>
      </c>
      <c r="F26" s="7">
        <f>SUM(F14:F25)</f>
        <v>228758.3682985373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f>C26/12</f>
        <v>42423476.601275034</v>
      </c>
      <c r="D28" s="11"/>
      <c r="F28" s="7">
        <f>ROUND(+F26/12,2)</f>
        <v>19063.2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19063.2</v>
      </c>
    </row>
    <row r="34" spans="1:8" ht="13.5" thickBot="1" x14ac:dyDescent="0.25">
      <c r="C34" s="2" t="s">
        <v>25</v>
      </c>
      <c r="E34" s="9">
        <f>C28</f>
        <v>42423476.601275034</v>
      </c>
      <c r="F34" s="6" t="s">
        <v>26</v>
      </c>
      <c r="G34" s="42">
        <f>IF(E34=0,0,ROUND(E33/E34*12,5))</f>
        <v>5.3899999999999998E-3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2324200000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91593364.907658994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2324200000</v>
      </c>
      <c r="D50" s="15" t="s">
        <v>154</v>
      </c>
      <c r="E50" s="16">
        <f>ROUND(+C48/C50,5)</f>
        <v>3.9410000000000001E-2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2690944507.8551698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>
        <v>162090.4177588</v>
      </c>
      <c r="E91" s="14"/>
      <c r="F91" s="14"/>
    </row>
    <row r="92" spans="1:6" x14ac:dyDescent="0.2">
      <c r="B92" s="2">
        <v>2</v>
      </c>
      <c r="C92" s="4" t="s">
        <v>100</v>
      </c>
      <c r="D92" s="14">
        <v>174838.2073288</v>
      </c>
      <c r="E92" s="14"/>
      <c r="F92" s="14"/>
    </row>
    <row r="93" spans="1:6" x14ac:dyDescent="0.2">
      <c r="B93" s="2">
        <v>3</v>
      </c>
      <c r="C93" s="4" t="s">
        <v>101</v>
      </c>
      <c r="D93" s="14">
        <v>184554.10233879997</v>
      </c>
      <c r="E93" s="14"/>
      <c r="F93" s="14"/>
    </row>
    <row r="94" spans="1:6" x14ac:dyDescent="0.2">
      <c r="B94" s="2">
        <v>4</v>
      </c>
      <c r="C94" s="4" t="s">
        <v>102</v>
      </c>
      <c r="D94" s="14">
        <v>198277.80742880001</v>
      </c>
      <c r="E94" s="14"/>
      <c r="F94" s="14"/>
    </row>
    <row r="95" spans="1:6" x14ac:dyDescent="0.2">
      <c r="B95" s="2">
        <v>5</v>
      </c>
      <c r="C95" s="4" t="s">
        <v>103</v>
      </c>
      <c r="D95" s="14">
        <v>213604.21736880002</v>
      </c>
      <c r="E95" s="14"/>
      <c r="F95" s="14"/>
    </row>
    <row r="96" spans="1:6" x14ac:dyDescent="0.2">
      <c r="B96" s="2">
        <v>6</v>
      </c>
      <c r="C96" s="4" t="s">
        <v>104</v>
      </c>
      <c r="D96" s="14">
        <v>222613.11460879998</v>
      </c>
      <c r="E96" s="14"/>
      <c r="F96" s="14"/>
    </row>
    <row r="97" spans="2:6" x14ac:dyDescent="0.2">
      <c r="B97" s="2">
        <v>7</v>
      </c>
      <c r="C97" s="4" t="s">
        <v>105</v>
      </c>
      <c r="D97" s="14">
        <v>229724.11643879898</v>
      </c>
      <c r="E97" s="14"/>
      <c r="F97" s="14"/>
    </row>
    <row r="98" spans="2:6" x14ac:dyDescent="0.2">
      <c r="B98" s="2">
        <v>8</v>
      </c>
      <c r="C98" s="4" t="s">
        <v>106</v>
      </c>
      <c r="D98" s="14">
        <v>243666.60031879999</v>
      </c>
      <c r="E98" s="14"/>
      <c r="F98" s="14"/>
    </row>
    <row r="99" spans="2:6" x14ac:dyDescent="0.2">
      <c r="B99" s="2">
        <v>9</v>
      </c>
      <c r="C99" s="4" t="s">
        <v>107</v>
      </c>
      <c r="D99" s="14">
        <v>256085.49563879898</v>
      </c>
      <c r="E99" s="14"/>
      <c r="F99" s="14"/>
    </row>
    <row r="100" spans="2:6" x14ac:dyDescent="0.2">
      <c r="B100" s="2">
        <v>10</v>
      </c>
      <c r="C100" s="4" t="s">
        <v>108</v>
      </c>
      <c r="D100" s="14">
        <v>270752.16042879998</v>
      </c>
      <c r="E100" s="14"/>
      <c r="F100" s="14"/>
    </row>
    <row r="101" spans="2:6" x14ac:dyDescent="0.2">
      <c r="B101" s="2">
        <v>11</v>
      </c>
      <c r="C101" s="4" t="s">
        <v>109</v>
      </c>
      <c r="D101" s="14">
        <v>287247.63983880001</v>
      </c>
      <c r="E101" s="14"/>
      <c r="F101" s="14"/>
    </row>
    <row r="102" spans="2:6" x14ac:dyDescent="0.2">
      <c r="B102" s="2">
        <v>12</v>
      </c>
      <c r="C102" s="4" t="s">
        <v>110</v>
      </c>
      <c r="D102" s="14">
        <v>286827.28250879899</v>
      </c>
      <c r="E102" s="14"/>
      <c r="F102" s="14"/>
    </row>
    <row r="103" spans="2:6" x14ac:dyDescent="0.2">
      <c r="B103" s="2">
        <v>13</v>
      </c>
      <c r="C103" s="4" t="s">
        <v>111</v>
      </c>
      <c r="D103" s="47">
        <v>214028.21200880001</v>
      </c>
      <c r="E103" s="14"/>
      <c r="F103" s="14"/>
    </row>
    <row r="104" spans="2:6" x14ac:dyDescent="0.2">
      <c r="C104" s="2" t="s">
        <v>34</v>
      </c>
      <c r="D104" s="14">
        <f>SUM(D91:D103)</f>
        <v>2944309.3740143967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ROUND(D104/13,0)</f>
        <v>226485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226485000</v>
      </c>
      <c r="E111" s="6"/>
      <c r="F111" s="21"/>
    </row>
    <row r="114" spans="1:3" x14ac:dyDescent="0.2">
      <c r="A114" s="4" t="s">
        <v>112</v>
      </c>
    </row>
    <row r="116" spans="1:3" x14ac:dyDescent="0.2">
      <c r="A116" s="4" t="s">
        <v>60</v>
      </c>
      <c r="C116" s="14">
        <f>C28</f>
        <v>42423476.601275034</v>
      </c>
    </row>
    <row r="117" spans="1:3" x14ac:dyDescent="0.2">
      <c r="A117" s="4" t="s">
        <v>61</v>
      </c>
      <c r="C117" s="22">
        <f>G34</f>
        <v>5.3899999999999998E-3</v>
      </c>
    </row>
    <row r="118" spans="1:3" x14ac:dyDescent="0.2">
      <c r="A118" s="4" t="s">
        <v>62</v>
      </c>
      <c r="C118" s="14">
        <f>D41</f>
        <v>2324200000</v>
      </c>
    </row>
    <row r="119" spans="1:3" x14ac:dyDescent="0.2">
      <c r="A119" s="4" t="s">
        <v>63</v>
      </c>
      <c r="C119" s="22">
        <f>E50</f>
        <v>3.9410000000000001E-2</v>
      </c>
    </row>
    <row r="120" spans="1:3" x14ac:dyDescent="0.2">
      <c r="A120" s="4" t="s">
        <v>41</v>
      </c>
      <c r="C120" s="14">
        <f>D57</f>
        <v>0</v>
      </c>
    </row>
    <row r="121" spans="1:3" x14ac:dyDescent="0.2">
      <c r="A121" s="4" t="s">
        <v>64</v>
      </c>
      <c r="C121" s="22">
        <f>F72</f>
        <v>0</v>
      </c>
    </row>
    <row r="122" spans="1:3" x14ac:dyDescent="0.2">
      <c r="A122" s="4" t="s">
        <v>65</v>
      </c>
      <c r="C122" s="14">
        <f>D79</f>
        <v>2690944507.8551698</v>
      </c>
    </row>
    <row r="123" spans="1:3" x14ac:dyDescent="0.2">
      <c r="A123" s="4" t="s">
        <v>66</v>
      </c>
      <c r="C123" s="23">
        <f>D84</f>
        <v>0.1</v>
      </c>
    </row>
    <row r="124" spans="1:3" x14ac:dyDescent="0.2">
      <c r="A124" s="4" t="s">
        <v>67</v>
      </c>
      <c r="C124" s="14">
        <f>D111</f>
        <v>226485000</v>
      </c>
    </row>
    <row r="127" spans="1:3" x14ac:dyDescent="0.2">
      <c r="B127" s="2" t="s">
        <v>68</v>
      </c>
    </row>
    <row r="128" spans="1:3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1.5900000000000001E-2</v>
      </c>
      <c r="D134" s="2">
        <f>(C117*(C116/C124))+C119*(C118/(C118+C120+C122))*(1-(C116/C124))</f>
        <v>1.585255847309229E-2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4.36E-2</v>
      </c>
      <c r="D144" s="2">
        <f>(1-C116/C124)*(C121*(C120/(C118+C120+C122))+C123*(C122/(C118+C120+C122)))</f>
        <v>4.360586023862028E-2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1.5900000000000001E-2</v>
      </c>
      <c r="C153" s="30">
        <v>1</v>
      </c>
      <c r="D153" s="30">
        <v>1</v>
      </c>
      <c r="E153" s="39">
        <f>+B153*C153*D153</f>
        <v>1.5900000000000001E-2</v>
      </c>
      <c r="G153" s="40"/>
    </row>
    <row r="154" spans="1:7" x14ac:dyDescent="0.2">
      <c r="A154" s="2" t="s">
        <v>85</v>
      </c>
      <c r="B154" s="30">
        <f>ROUND(+D144,4)</f>
        <v>4.36E-2</v>
      </c>
      <c r="C154" s="30">
        <v>1</v>
      </c>
      <c r="D154" s="30">
        <v>1</v>
      </c>
      <c r="E154" s="41">
        <f>+B154*C154*D154</f>
        <v>4.36E-2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5.9499999999999997E-2</v>
      </c>
      <c r="C156" s="32">
        <v>1</v>
      </c>
      <c r="D156" s="32">
        <v>1</v>
      </c>
      <c r="E156" s="33">
        <f>SUM(E153:E155)</f>
        <v>5.9499999999999997E-2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CFF8-8C83-482B-82BE-CD681F544884}">
  <dimension ref="A1:V157"/>
  <sheetViews>
    <sheetView showGridLines="0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158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159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>
        <v>76136924.268819794</v>
      </c>
    </row>
    <row r="14" spans="1:22" x14ac:dyDescent="0.2">
      <c r="A14" s="2">
        <v>2</v>
      </c>
      <c r="B14" s="4" t="s">
        <v>113</v>
      </c>
      <c r="C14" s="14">
        <v>30535150.914740998</v>
      </c>
      <c r="D14" s="36">
        <v>6.0675999999999959E-3</v>
      </c>
      <c r="E14" s="6">
        <v>30</v>
      </c>
      <c r="F14" s="7">
        <f t="shared" ref="F14:F25" si="0">C14*D14*(E14/E$26)</f>
        <v>15439.590140856862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114</v>
      </c>
      <c r="C15" s="14">
        <v>0</v>
      </c>
      <c r="D15" s="36">
        <v>6.1275999999999952E-3</v>
      </c>
      <c r="E15" s="6">
        <v>30</v>
      </c>
      <c r="F15" s="7">
        <f t="shared" si="0"/>
        <v>0</v>
      </c>
    </row>
    <row r="16" spans="1:22" x14ac:dyDescent="0.2">
      <c r="A16" s="2">
        <v>4</v>
      </c>
      <c r="B16" s="4" t="s">
        <v>115</v>
      </c>
      <c r="C16" s="14">
        <v>46309996.646184601</v>
      </c>
      <c r="D16" s="36">
        <v>6.1827000000000002E-3</v>
      </c>
      <c r="E16" s="6">
        <v>30</v>
      </c>
      <c r="F16" s="7">
        <f t="shared" si="0"/>
        <v>23860.068022030464</v>
      </c>
    </row>
    <row r="17" spans="1:7" x14ac:dyDescent="0.2">
      <c r="A17" s="2">
        <v>5</v>
      </c>
      <c r="B17" s="4" t="s">
        <v>116</v>
      </c>
      <c r="C17" s="14">
        <v>51732182.7740824</v>
      </c>
      <c r="D17" s="36">
        <v>6.2416999999999924E-3</v>
      </c>
      <c r="E17" s="6">
        <v>30</v>
      </c>
      <c r="F17" s="7">
        <f t="shared" si="0"/>
        <v>26908.063768415806</v>
      </c>
    </row>
    <row r="18" spans="1:7" x14ac:dyDescent="0.2">
      <c r="A18" s="2">
        <v>6</v>
      </c>
      <c r="B18" s="4" t="s">
        <v>117</v>
      </c>
      <c r="C18" s="14">
        <v>23467627.019164599</v>
      </c>
      <c r="D18" s="36">
        <v>6.3034999999999914E-3</v>
      </c>
      <c r="E18" s="6">
        <v>30</v>
      </c>
      <c r="F18" s="7">
        <f t="shared" si="0"/>
        <v>12327.348909608652</v>
      </c>
    </row>
    <row r="19" spans="1:7" x14ac:dyDescent="0.2">
      <c r="A19" s="2">
        <v>7</v>
      </c>
      <c r="B19" s="4" t="s">
        <v>118</v>
      </c>
      <c r="C19" s="14">
        <v>48269602.7407507</v>
      </c>
      <c r="D19" s="36">
        <v>6.360300000000001E-3</v>
      </c>
      <c r="E19" s="6">
        <v>30</v>
      </c>
      <c r="F19" s="7">
        <f t="shared" si="0"/>
        <v>25584.096192666391</v>
      </c>
    </row>
    <row r="20" spans="1:7" x14ac:dyDescent="0.2">
      <c r="A20" s="2">
        <v>8</v>
      </c>
      <c r="B20" s="4" t="s">
        <v>119</v>
      </c>
      <c r="C20" s="14">
        <v>20190093.777815402</v>
      </c>
      <c r="D20" s="36">
        <v>7.3371999999999968E-3</v>
      </c>
      <c r="E20" s="6">
        <v>30</v>
      </c>
      <c r="F20" s="7">
        <f t="shared" si="0"/>
        <v>12344.896338882259</v>
      </c>
    </row>
    <row r="21" spans="1:7" x14ac:dyDescent="0.2">
      <c r="A21" s="2">
        <v>9</v>
      </c>
      <c r="B21" s="4" t="s">
        <v>120</v>
      </c>
      <c r="C21" s="14">
        <v>0</v>
      </c>
      <c r="D21" s="36">
        <v>7.5609999999999957E-3</v>
      </c>
      <c r="E21" s="6">
        <v>30</v>
      </c>
      <c r="F21" s="7">
        <f t="shared" si="0"/>
        <v>0</v>
      </c>
    </row>
    <row r="22" spans="1:7" x14ac:dyDescent="0.2">
      <c r="A22" s="2">
        <v>10</v>
      </c>
      <c r="B22" s="4" t="s">
        <v>121</v>
      </c>
      <c r="C22" s="14">
        <v>39217560.927785501</v>
      </c>
      <c r="D22" s="36">
        <v>7.6575000000000002E-3</v>
      </c>
      <c r="E22" s="6">
        <v>30</v>
      </c>
      <c r="F22" s="7">
        <f t="shared" si="0"/>
        <v>25025.706067043124</v>
      </c>
    </row>
    <row r="23" spans="1:7" x14ac:dyDescent="0.2">
      <c r="A23" s="2">
        <v>11</v>
      </c>
      <c r="B23" s="4" t="s">
        <v>122</v>
      </c>
      <c r="C23" s="14">
        <v>49327157.824240699</v>
      </c>
      <c r="D23" s="36">
        <v>7.7553999999999965E-3</v>
      </c>
      <c r="E23" s="6">
        <v>30</v>
      </c>
      <c r="F23" s="7">
        <f t="shared" si="0"/>
        <v>31879.319982509674</v>
      </c>
    </row>
    <row r="24" spans="1:7" x14ac:dyDescent="0.2">
      <c r="A24" s="2">
        <v>12</v>
      </c>
      <c r="B24" s="4" t="s">
        <v>123</v>
      </c>
      <c r="C24" s="14">
        <v>34244112.657081902</v>
      </c>
      <c r="D24" s="36">
        <v>7.8499999999999924E-3</v>
      </c>
      <c r="E24" s="6">
        <v>30</v>
      </c>
      <c r="F24" s="7">
        <f t="shared" si="0"/>
        <v>22401.357029841052</v>
      </c>
    </row>
    <row r="25" spans="1:7" x14ac:dyDescent="0.2">
      <c r="A25" s="2">
        <v>13</v>
      </c>
      <c r="B25" s="4" t="s">
        <v>124</v>
      </c>
      <c r="C25" s="14">
        <v>54385747.865055703</v>
      </c>
      <c r="D25" s="36">
        <v>7.946199999999997E-3</v>
      </c>
      <c r="E25" s="6">
        <v>30</v>
      </c>
      <c r="F25" s="7">
        <f t="shared" si="0"/>
        <v>36013.335807108786</v>
      </c>
    </row>
    <row r="26" spans="1:7" x14ac:dyDescent="0.2">
      <c r="B26" s="4" t="s">
        <v>166</v>
      </c>
      <c r="C26" s="9">
        <f>SUM(C14:C25)</f>
        <v>397679233.14690244</v>
      </c>
      <c r="D26" s="2" t="s">
        <v>17</v>
      </c>
      <c r="E26" s="6">
        <f>SUM(E14:E25)</f>
        <v>360</v>
      </c>
      <c r="F26" s="7">
        <f>SUM(F14:F25)</f>
        <v>231783.78225896307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f>C26/12</f>
        <v>33139936.095575202</v>
      </c>
      <c r="D28" s="11"/>
      <c r="F28" s="7">
        <f>ROUND(+F26/12,2)</f>
        <v>19315.32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19315.32</v>
      </c>
    </row>
    <row r="34" spans="1:8" ht="13.5" thickBot="1" x14ac:dyDescent="0.25">
      <c r="C34" s="2" t="s">
        <v>25</v>
      </c>
      <c r="E34" s="9">
        <f>C28</f>
        <v>33139936.095575202</v>
      </c>
      <c r="F34" s="6" t="s">
        <v>26</v>
      </c>
      <c r="G34" s="42">
        <f>IF(E34=0,0,ROUND(E33/E34*12,5))</f>
        <v>6.9899999999999997E-3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2324200000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91600869.662325636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2324200000</v>
      </c>
      <c r="D50" s="15" t="s">
        <v>154</v>
      </c>
      <c r="E50" s="16">
        <f>ROUND(+C48/C50,5)</f>
        <v>3.9410000000000001E-2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2688836592.2995701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>
        <v>214028.21200880001</v>
      </c>
      <c r="E91" s="14"/>
      <c r="F91" s="14"/>
    </row>
    <row r="92" spans="1:6" x14ac:dyDescent="0.2">
      <c r="B92" s="2">
        <v>2</v>
      </c>
      <c r="C92" s="4" t="s">
        <v>113</v>
      </c>
      <c r="D92" s="14">
        <v>220992.43547880001</v>
      </c>
      <c r="E92" s="14"/>
      <c r="F92" s="14"/>
    </row>
    <row r="93" spans="1:6" x14ac:dyDescent="0.2">
      <c r="B93" s="2">
        <v>3</v>
      </c>
      <c r="C93" s="4" t="s">
        <v>114</v>
      </c>
      <c r="D93" s="14">
        <v>228844.29547879996</v>
      </c>
      <c r="E93" s="14"/>
      <c r="F93" s="14"/>
    </row>
    <row r="94" spans="1:6" x14ac:dyDescent="0.2">
      <c r="B94" s="2">
        <v>4</v>
      </c>
      <c r="C94" s="4" t="s">
        <v>115</v>
      </c>
      <c r="D94" s="14">
        <v>243427.96979879896</v>
      </c>
      <c r="E94" s="14"/>
      <c r="F94" s="14"/>
    </row>
    <row r="95" spans="1:6" x14ac:dyDescent="0.2">
      <c r="B95" s="2">
        <v>5</v>
      </c>
      <c r="C95" s="4" t="s">
        <v>116</v>
      </c>
      <c r="D95" s="14">
        <v>248868.65731879999</v>
      </c>
      <c r="E95" s="14"/>
      <c r="F95" s="14"/>
    </row>
    <row r="96" spans="1:6" x14ac:dyDescent="0.2">
      <c r="B96" s="2">
        <v>6</v>
      </c>
      <c r="C96" s="4" t="s">
        <v>117</v>
      </c>
      <c r="D96" s="14">
        <v>257468.41338879999</v>
      </c>
      <c r="E96" s="14"/>
      <c r="F96" s="14"/>
    </row>
    <row r="97" spans="2:6" x14ac:dyDescent="0.2">
      <c r="B97" s="2">
        <v>7</v>
      </c>
      <c r="C97" s="4" t="s">
        <v>118</v>
      </c>
      <c r="D97" s="14">
        <v>266742.67973879899</v>
      </c>
      <c r="E97" s="14"/>
      <c r="F97" s="14"/>
    </row>
    <row r="98" spans="2:6" x14ac:dyDescent="0.2">
      <c r="B98" s="2">
        <v>8</v>
      </c>
      <c r="C98" s="4" t="s">
        <v>119</v>
      </c>
      <c r="D98" s="14">
        <v>278115.62904879998</v>
      </c>
      <c r="E98" s="14"/>
      <c r="F98" s="14"/>
    </row>
    <row r="99" spans="2:6" x14ac:dyDescent="0.2">
      <c r="B99" s="2">
        <v>9</v>
      </c>
      <c r="C99" s="4" t="s">
        <v>120</v>
      </c>
      <c r="D99" s="14">
        <v>281625.12069880002</v>
      </c>
      <c r="E99" s="14"/>
      <c r="F99" s="14"/>
    </row>
    <row r="100" spans="2:6" x14ac:dyDescent="0.2">
      <c r="B100" s="2">
        <v>10</v>
      </c>
      <c r="C100" s="4" t="s">
        <v>121</v>
      </c>
      <c r="D100" s="14">
        <v>295526.76610880002</v>
      </c>
      <c r="E100" s="14"/>
      <c r="F100" s="14"/>
    </row>
    <row r="101" spans="2:6" x14ac:dyDescent="0.2">
      <c r="B101" s="2">
        <v>11</v>
      </c>
      <c r="C101" s="4" t="s">
        <v>122</v>
      </c>
      <c r="D101" s="14">
        <v>305617.7582488</v>
      </c>
      <c r="E101" s="14"/>
      <c r="F101" s="14"/>
    </row>
    <row r="102" spans="2:6" x14ac:dyDescent="0.2">
      <c r="B102" s="2">
        <v>12</v>
      </c>
      <c r="C102" s="4" t="s">
        <v>123</v>
      </c>
      <c r="D102" s="14">
        <v>313547.68723879999</v>
      </c>
      <c r="E102" s="14"/>
      <c r="F102" s="14"/>
    </row>
    <row r="103" spans="2:6" x14ac:dyDescent="0.2">
      <c r="B103" s="2">
        <v>13</v>
      </c>
      <c r="C103" s="4" t="s">
        <v>124</v>
      </c>
      <c r="D103" s="47">
        <v>171283.2885987999</v>
      </c>
      <c r="E103" s="14"/>
      <c r="F103" s="14"/>
    </row>
    <row r="104" spans="2:6" x14ac:dyDescent="0.2">
      <c r="C104" s="2" t="s">
        <v>34</v>
      </c>
      <c r="D104" s="14">
        <f>SUM(D91:D103)</f>
        <v>3326088.9131543981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ROUND(D104/13,0)</f>
        <v>255853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255853000</v>
      </c>
      <c r="E111" s="6"/>
      <c r="F111" s="21"/>
    </row>
    <row r="114" spans="1:3" x14ac:dyDescent="0.2">
      <c r="A114" s="4" t="s">
        <v>125</v>
      </c>
    </row>
    <row r="116" spans="1:3" x14ac:dyDescent="0.2">
      <c r="A116" s="4" t="s">
        <v>60</v>
      </c>
      <c r="C116" s="14">
        <f>C28</f>
        <v>33139936.095575202</v>
      </c>
    </row>
    <row r="117" spans="1:3" x14ac:dyDescent="0.2">
      <c r="A117" s="4" t="s">
        <v>61</v>
      </c>
      <c r="C117" s="22">
        <f>G34</f>
        <v>6.9899999999999997E-3</v>
      </c>
    </row>
    <row r="118" spans="1:3" x14ac:dyDescent="0.2">
      <c r="A118" s="4" t="s">
        <v>62</v>
      </c>
      <c r="C118" s="14">
        <f>D41</f>
        <v>2324200000</v>
      </c>
    </row>
    <row r="119" spans="1:3" x14ac:dyDescent="0.2">
      <c r="A119" s="4" t="s">
        <v>63</v>
      </c>
      <c r="C119" s="22">
        <f>E50</f>
        <v>3.9410000000000001E-2</v>
      </c>
    </row>
    <row r="120" spans="1:3" x14ac:dyDescent="0.2">
      <c r="A120" s="4" t="s">
        <v>41</v>
      </c>
      <c r="C120" s="14">
        <f>D57</f>
        <v>0</v>
      </c>
    </row>
    <row r="121" spans="1:3" x14ac:dyDescent="0.2">
      <c r="A121" s="4" t="s">
        <v>64</v>
      </c>
      <c r="C121" s="22">
        <f>F72</f>
        <v>0</v>
      </c>
    </row>
    <row r="122" spans="1:3" x14ac:dyDescent="0.2">
      <c r="A122" s="4" t="s">
        <v>65</v>
      </c>
      <c r="C122" s="14">
        <f>D79</f>
        <v>2688836592.2995701</v>
      </c>
    </row>
    <row r="123" spans="1:3" x14ac:dyDescent="0.2">
      <c r="A123" s="4" t="s">
        <v>66</v>
      </c>
      <c r="C123" s="23">
        <f>D84</f>
        <v>0.1</v>
      </c>
    </row>
    <row r="124" spans="1:3" x14ac:dyDescent="0.2">
      <c r="A124" s="4" t="s">
        <v>67</v>
      </c>
      <c r="C124" s="14">
        <f>D111</f>
        <v>255853000</v>
      </c>
    </row>
    <row r="127" spans="1:3" x14ac:dyDescent="0.2">
      <c r="B127" s="2" t="s">
        <v>68</v>
      </c>
    </row>
    <row r="128" spans="1:3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1.6799999999999999E-2</v>
      </c>
      <c r="D134" s="2">
        <f>(C117*(C116/C124))+C119*(C118/(C118+C120+C122))*(1-(C116/C124))</f>
        <v>1.6810416095119213E-2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4.6699999999999998E-2</v>
      </c>
      <c r="D144" s="2">
        <f>(1-C116/C124)*(C121*(C120/(C118+C120+C122))+C123*(C122/(C118+C120+C122)))</f>
        <v>4.6689445277048547E-2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1.6799999999999999E-2</v>
      </c>
      <c r="C153" s="30">
        <v>1</v>
      </c>
      <c r="D153" s="30">
        <v>1</v>
      </c>
      <c r="E153" s="39">
        <f>+B153*C153*D153</f>
        <v>1.6799999999999999E-2</v>
      </c>
      <c r="G153" s="40"/>
    </row>
    <row r="154" spans="1:7" x14ac:dyDescent="0.2">
      <c r="A154" s="2" t="s">
        <v>85</v>
      </c>
      <c r="B154" s="30">
        <f>ROUND(+D144,4)</f>
        <v>4.6699999999999998E-2</v>
      </c>
      <c r="C154" s="30">
        <v>1</v>
      </c>
      <c r="D154" s="30">
        <v>1</v>
      </c>
      <c r="E154" s="41">
        <f>+B154*C154*D154</f>
        <v>4.6699999999999998E-2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6.3500000000000001E-2</v>
      </c>
      <c r="C156" s="32">
        <v>1</v>
      </c>
      <c r="D156" s="32">
        <v>1</v>
      </c>
      <c r="E156" s="33">
        <f>SUM(E153:E155)</f>
        <v>6.3500000000000001E-2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EDA2-043C-42EB-8D85-A9F634CFD071}">
  <dimension ref="A1:V157"/>
  <sheetViews>
    <sheetView showGridLines="0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160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161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>
        <v>54385747.865055703</v>
      </c>
    </row>
    <row r="14" spans="1:22" x14ac:dyDescent="0.2">
      <c r="A14" s="2">
        <v>2</v>
      </c>
      <c r="B14" s="4" t="s">
        <v>126</v>
      </c>
      <c r="C14" s="14">
        <v>4949929.7156039197</v>
      </c>
      <c r="D14" s="36">
        <v>8.0452999999999913E-3</v>
      </c>
      <c r="E14" s="6">
        <v>30</v>
      </c>
      <c r="F14" s="7">
        <f t="shared" ref="F14:F25" si="0">C14*D14*(E14/E$26)</f>
        <v>3318.6391284123474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127</v>
      </c>
      <c r="C15" s="14">
        <v>0</v>
      </c>
      <c r="D15" s="36">
        <v>8.1378000000000006E-3</v>
      </c>
      <c r="E15" s="6">
        <v>30</v>
      </c>
      <c r="F15" s="7">
        <f t="shared" si="0"/>
        <v>0</v>
      </c>
    </row>
    <row r="16" spans="1:22" x14ac:dyDescent="0.2">
      <c r="A16" s="2">
        <v>4</v>
      </c>
      <c r="B16" s="4" t="s">
        <v>128</v>
      </c>
      <c r="C16" s="14">
        <v>20469648.330699999</v>
      </c>
      <c r="D16" s="36">
        <v>8.2305E-3</v>
      </c>
      <c r="E16" s="6">
        <v>30</v>
      </c>
      <c r="F16" s="7">
        <f t="shared" si="0"/>
        <v>14039.620048818862</v>
      </c>
    </row>
    <row r="17" spans="1:7" x14ac:dyDescent="0.2">
      <c r="A17" s="2">
        <v>5</v>
      </c>
      <c r="B17" s="4" t="s">
        <v>129</v>
      </c>
      <c r="C17" s="14">
        <v>15975569.621300099</v>
      </c>
      <c r="D17" s="36">
        <v>8.3259999999999966E-3</v>
      </c>
      <c r="E17" s="6">
        <v>30</v>
      </c>
      <c r="F17" s="7">
        <f t="shared" si="0"/>
        <v>11084.38272224538</v>
      </c>
    </row>
    <row r="18" spans="1:7" x14ac:dyDescent="0.2">
      <c r="A18" s="2">
        <v>6</v>
      </c>
      <c r="B18" s="4" t="s">
        <v>130</v>
      </c>
      <c r="C18" s="14">
        <v>0</v>
      </c>
      <c r="D18" s="36">
        <v>8.4197999999999999E-3</v>
      </c>
      <c r="E18" s="6">
        <v>30</v>
      </c>
      <c r="F18" s="7">
        <f t="shared" si="0"/>
        <v>0</v>
      </c>
    </row>
    <row r="19" spans="1:7" x14ac:dyDescent="0.2">
      <c r="A19" s="2">
        <v>7</v>
      </c>
      <c r="B19" s="4" t="s">
        <v>131</v>
      </c>
      <c r="C19" s="14">
        <v>15473285.614184899</v>
      </c>
      <c r="D19" s="36">
        <v>8.5150999999999907E-3</v>
      </c>
      <c r="E19" s="6">
        <v>30</v>
      </c>
      <c r="F19" s="7">
        <f t="shared" si="0"/>
        <v>10979.714527778808</v>
      </c>
    </row>
    <row r="20" spans="1:7" x14ac:dyDescent="0.2">
      <c r="A20" s="2">
        <v>8</v>
      </c>
      <c r="B20" s="4" t="s">
        <v>132</v>
      </c>
      <c r="C20" s="14">
        <v>0</v>
      </c>
      <c r="D20" s="36">
        <v>9.056899999999991E-3</v>
      </c>
      <c r="E20" s="6">
        <v>30</v>
      </c>
      <c r="F20" s="7">
        <f t="shared" si="0"/>
        <v>0</v>
      </c>
    </row>
    <row r="21" spans="1:7" x14ac:dyDescent="0.2">
      <c r="A21" s="2">
        <v>9</v>
      </c>
      <c r="B21" s="4" t="s">
        <v>133</v>
      </c>
      <c r="C21" s="14">
        <v>0</v>
      </c>
      <c r="D21" s="36">
        <v>9.2013000000000008E-3</v>
      </c>
      <c r="E21" s="6">
        <v>30</v>
      </c>
      <c r="F21" s="7">
        <f t="shared" si="0"/>
        <v>0</v>
      </c>
    </row>
    <row r="22" spans="1:7" x14ac:dyDescent="0.2">
      <c r="A22" s="2">
        <v>10</v>
      </c>
      <c r="B22" s="4" t="s">
        <v>134</v>
      </c>
      <c r="C22" s="14">
        <v>12070723.2631649</v>
      </c>
      <c r="D22" s="36">
        <v>9.3176999999999999E-3</v>
      </c>
      <c r="E22" s="6">
        <v>30</v>
      </c>
      <c r="F22" s="7">
        <f t="shared" si="0"/>
        <v>9372.6148457659656</v>
      </c>
    </row>
    <row r="23" spans="1:7" x14ac:dyDescent="0.2">
      <c r="A23" s="2">
        <v>11</v>
      </c>
      <c r="B23" s="4" t="s">
        <v>135</v>
      </c>
      <c r="C23" s="14">
        <v>28606490.723435599</v>
      </c>
      <c r="D23" s="36">
        <v>9.4373999999999986E-3</v>
      </c>
      <c r="E23" s="6">
        <v>30</v>
      </c>
      <c r="F23" s="7">
        <f t="shared" si="0"/>
        <v>22497.574629445924</v>
      </c>
    </row>
    <row r="24" spans="1:7" x14ac:dyDescent="0.2">
      <c r="A24" s="2">
        <v>12</v>
      </c>
      <c r="B24" s="4" t="s">
        <v>136</v>
      </c>
      <c r="C24" s="14">
        <v>15850673.6394224</v>
      </c>
      <c r="D24" s="36">
        <v>9.5493000000000001E-3</v>
      </c>
      <c r="E24" s="6">
        <v>30</v>
      </c>
      <c r="F24" s="7">
        <f t="shared" si="0"/>
        <v>12613.56981541136</v>
      </c>
    </row>
    <row r="25" spans="1:7" x14ac:dyDescent="0.2">
      <c r="A25" s="2">
        <v>13</v>
      </c>
      <c r="B25" s="4" t="s">
        <v>137</v>
      </c>
      <c r="C25" s="14">
        <v>37322397.650868103</v>
      </c>
      <c r="D25" s="36">
        <v>9.6650999999999994E-3</v>
      </c>
      <c r="E25" s="6">
        <v>30</v>
      </c>
      <c r="F25" s="7">
        <f t="shared" si="0"/>
        <v>30060.392127950436</v>
      </c>
    </row>
    <row r="26" spans="1:7" x14ac:dyDescent="0.2">
      <c r="B26" s="4" t="s">
        <v>167</v>
      </c>
      <c r="C26" s="9">
        <f>SUM(C14:C25)</f>
        <v>150718718.55867994</v>
      </c>
      <c r="D26" s="2" t="s">
        <v>17</v>
      </c>
      <c r="E26" s="6">
        <f>SUM(E14:E25)</f>
        <v>360</v>
      </c>
      <c r="F26" s="7">
        <f>SUM(F14:F25)</f>
        <v>113966.50784582907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f>C26/12</f>
        <v>12559893.213223329</v>
      </c>
      <c r="D28" s="11"/>
      <c r="F28" s="7">
        <f>ROUND(+F26/12,2)</f>
        <v>9497.2099999999991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9497.2099999999991</v>
      </c>
    </row>
    <row r="34" spans="1:8" ht="13.5" thickBot="1" x14ac:dyDescent="0.25">
      <c r="C34" s="2" t="s">
        <v>25</v>
      </c>
      <c r="E34" s="9">
        <f>C28</f>
        <v>12559893.213223329</v>
      </c>
      <c r="F34" s="6" t="s">
        <v>26</v>
      </c>
      <c r="G34" s="42">
        <f>IF(E34=0,0,ROUND(E33/E34*12,5))</f>
        <v>9.0699999999999999E-3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2324200000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91591902.349939615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2324200000</v>
      </c>
      <c r="D50" s="15" t="s">
        <v>154</v>
      </c>
      <c r="E50" s="16">
        <f>ROUND(+C48/C50,5)</f>
        <v>3.9410000000000001E-2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2664851387.18364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>
        <v>171283.2885987999</v>
      </c>
      <c r="E91" s="14"/>
      <c r="F91" s="14"/>
    </row>
    <row r="92" spans="1:6" x14ac:dyDescent="0.2">
      <c r="B92" s="2">
        <v>2</v>
      </c>
      <c r="C92" s="4" t="s">
        <v>126</v>
      </c>
      <c r="D92" s="14">
        <v>177280.31723879999</v>
      </c>
      <c r="E92" s="14"/>
      <c r="F92" s="14"/>
    </row>
    <row r="93" spans="1:6" x14ac:dyDescent="0.2">
      <c r="B93" s="2">
        <v>3</v>
      </c>
      <c r="C93" s="4" t="s">
        <v>127</v>
      </c>
      <c r="D93" s="14">
        <v>183112.4183487999</v>
      </c>
      <c r="E93" s="14"/>
      <c r="F93" s="14"/>
    </row>
    <row r="94" spans="1:6" x14ac:dyDescent="0.2">
      <c r="B94" s="2">
        <v>4</v>
      </c>
      <c r="C94" s="4" t="s">
        <v>128</v>
      </c>
      <c r="D94" s="14">
        <v>188704.76130879999</v>
      </c>
      <c r="E94" s="14"/>
      <c r="F94" s="14"/>
    </row>
    <row r="95" spans="1:6" x14ac:dyDescent="0.2">
      <c r="B95" s="2">
        <v>5</v>
      </c>
      <c r="C95" s="4" t="s">
        <v>129</v>
      </c>
      <c r="D95" s="14">
        <v>196981.13783879988</v>
      </c>
      <c r="E95" s="14"/>
      <c r="F95" s="14"/>
    </row>
    <row r="96" spans="1:6" x14ac:dyDescent="0.2">
      <c r="B96" s="2">
        <v>6</v>
      </c>
      <c r="C96" s="4" t="s">
        <v>130</v>
      </c>
      <c r="D96" s="14">
        <v>205848.22213879996</v>
      </c>
      <c r="E96" s="14"/>
      <c r="F96" s="14"/>
    </row>
    <row r="97" spans="2:6" x14ac:dyDescent="0.2">
      <c r="B97" s="2">
        <v>7</v>
      </c>
      <c r="C97" s="4" t="s">
        <v>131</v>
      </c>
      <c r="D97" s="14">
        <v>214428.07413879997</v>
      </c>
      <c r="E97" s="14"/>
      <c r="F97" s="14"/>
    </row>
    <row r="98" spans="2:6" x14ac:dyDescent="0.2">
      <c r="B98" s="2">
        <v>8</v>
      </c>
      <c r="C98" s="4" t="s">
        <v>132</v>
      </c>
      <c r="D98" s="14">
        <v>224446.29499879997</v>
      </c>
      <c r="E98" s="14"/>
      <c r="F98" s="14"/>
    </row>
    <row r="99" spans="2:6" x14ac:dyDescent="0.2">
      <c r="B99" s="2">
        <v>9</v>
      </c>
      <c r="C99" s="4" t="s">
        <v>133</v>
      </c>
      <c r="D99" s="14">
        <v>235438.09743879997</v>
      </c>
      <c r="E99" s="14"/>
      <c r="F99" s="14"/>
    </row>
    <row r="100" spans="2:6" x14ac:dyDescent="0.2">
      <c r="B100" s="2">
        <v>10</v>
      </c>
      <c r="C100" s="4" t="s">
        <v>134</v>
      </c>
      <c r="D100" s="14">
        <v>256962.34145879996</v>
      </c>
      <c r="E100" s="14"/>
      <c r="F100" s="14"/>
    </row>
    <row r="101" spans="2:6" x14ac:dyDescent="0.2">
      <c r="B101" s="2">
        <v>11</v>
      </c>
      <c r="C101" s="4" t="s">
        <v>135</v>
      </c>
      <c r="D101" s="14">
        <v>275307.16929879994</v>
      </c>
      <c r="E101" s="14"/>
      <c r="F101" s="14"/>
    </row>
    <row r="102" spans="2:6" x14ac:dyDescent="0.2">
      <c r="B102" s="2">
        <v>12</v>
      </c>
      <c r="C102" s="4" t="s">
        <v>136</v>
      </c>
      <c r="D102" s="14">
        <v>273720.89284879994</v>
      </c>
      <c r="E102" s="14"/>
      <c r="F102" s="14"/>
    </row>
    <row r="103" spans="2:6" x14ac:dyDescent="0.2">
      <c r="B103" s="2">
        <v>13</v>
      </c>
      <c r="C103" s="4" t="s">
        <v>137</v>
      </c>
      <c r="D103" s="47">
        <v>228700.53158879996</v>
      </c>
      <c r="E103" s="14"/>
      <c r="F103" s="14"/>
    </row>
    <row r="104" spans="2:6" x14ac:dyDescent="0.2">
      <c r="C104" s="2" t="s">
        <v>34</v>
      </c>
      <c r="D104" s="14">
        <f>SUM(D91:D103)</f>
        <v>2832213.5472443989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ROUND(D104/13,0)</f>
        <v>217863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217863000</v>
      </c>
      <c r="E111" s="6"/>
      <c r="F111" s="21"/>
    </row>
    <row r="114" spans="1:3" x14ac:dyDescent="0.2">
      <c r="A114" s="4" t="s">
        <v>138</v>
      </c>
    </row>
    <row r="116" spans="1:3" x14ac:dyDescent="0.2">
      <c r="A116" s="4" t="s">
        <v>60</v>
      </c>
      <c r="C116" s="14">
        <f>C28</f>
        <v>12559893.213223329</v>
      </c>
    </row>
    <row r="117" spans="1:3" x14ac:dyDescent="0.2">
      <c r="A117" s="4" t="s">
        <v>61</v>
      </c>
      <c r="C117" s="22">
        <f>G34</f>
        <v>9.0699999999999999E-3</v>
      </c>
    </row>
    <row r="118" spans="1:3" x14ac:dyDescent="0.2">
      <c r="A118" s="4" t="s">
        <v>62</v>
      </c>
      <c r="C118" s="14">
        <f>D41</f>
        <v>2324200000</v>
      </c>
    </row>
    <row r="119" spans="1:3" x14ac:dyDescent="0.2">
      <c r="A119" s="4" t="s">
        <v>63</v>
      </c>
      <c r="C119" s="22">
        <f>E50</f>
        <v>3.9410000000000001E-2</v>
      </c>
    </row>
    <row r="120" spans="1:3" x14ac:dyDescent="0.2">
      <c r="A120" s="4" t="s">
        <v>41</v>
      </c>
      <c r="C120" s="14">
        <f>D57</f>
        <v>0</v>
      </c>
    </row>
    <row r="121" spans="1:3" x14ac:dyDescent="0.2">
      <c r="A121" s="4" t="s">
        <v>64</v>
      </c>
      <c r="C121" s="22">
        <f>F72</f>
        <v>0</v>
      </c>
    </row>
    <row r="122" spans="1:3" x14ac:dyDescent="0.2">
      <c r="A122" s="4" t="s">
        <v>65</v>
      </c>
      <c r="C122" s="14">
        <f>D79</f>
        <v>2664851387.18364</v>
      </c>
    </row>
    <row r="123" spans="1:3" x14ac:dyDescent="0.2">
      <c r="A123" s="4" t="s">
        <v>66</v>
      </c>
      <c r="C123" s="23">
        <f>D84</f>
        <v>0.1</v>
      </c>
    </row>
    <row r="124" spans="1:3" x14ac:dyDescent="0.2">
      <c r="A124" s="4" t="s">
        <v>67</v>
      </c>
      <c r="C124" s="14">
        <f>D111</f>
        <v>217863000</v>
      </c>
    </row>
    <row r="127" spans="1:3" x14ac:dyDescent="0.2">
      <c r="B127" s="2" t="s">
        <v>68</v>
      </c>
    </row>
    <row r="128" spans="1:3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1.78E-2</v>
      </c>
      <c r="D134" s="2">
        <f>(C117*(C116/C124))+C119*(C118/(C118+C120+C122))*(1-(C116/C124))</f>
        <v>1.7824000454237453E-2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5.0299999999999997E-2</v>
      </c>
      <c r="D144" s="2">
        <f>(1-C116/C124)*(C121*(C120/(C118+C120+C122))+C123*(C122/(C118+C120+C122)))</f>
        <v>5.0334650688350899E-2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1.78E-2</v>
      </c>
      <c r="C153" s="30">
        <v>1</v>
      </c>
      <c r="D153" s="30">
        <v>1</v>
      </c>
      <c r="E153" s="39">
        <f>+B153*C153*D153</f>
        <v>1.78E-2</v>
      </c>
      <c r="G153" s="40"/>
    </row>
    <row r="154" spans="1:7" x14ac:dyDescent="0.2">
      <c r="A154" s="2" t="s">
        <v>85</v>
      </c>
      <c r="B154" s="30">
        <f>ROUND(+D144,4)</f>
        <v>5.0299999999999997E-2</v>
      </c>
      <c r="C154" s="30">
        <v>1</v>
      </c>
      <c r="D154" s="30">
        <v>1</v>
      </c>
      <c r="E154" s="41">
        <f>+B154*C154*D154</f>
        <v>5.0299999999999997E-2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6.8099999999999994E-2</v>
      </c>
      <c r="C156" s="32">
        <v>1</v>
      </c>
      <c r="D156" s="32">
        <v>1</v>
      </c>
      <c r="E156" s="33">
        <f>SUM(E153:E155)</f>
        <v>6.8099999999999994E-2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BBB0-FE27-47C5-9D6C-B18A14C0F4F8}">
  <dimension ref="A1:V157"/>
  <sheetViews>
    <sheetView showGridLines="0" zoomScaleNormal="100" workbookViewId="0">
      <selection sqref="A1:H1"/>
    </sheetView>
  </sheetViews>
  <sheetFormatPr defaultColWidth="16" defaultRowHeight="12.75" x14ac:dyDescent="0.2"/>
  <cols>
    <col min="1" max="1" width="6.85546875" style="2" customWidth="1"/>
    <col min="2" max="2" width="22.28515625" style="2" customWidth="1"/>
    <col min="3" max="3" width="21.7109375" style="2" customWidth="1"/>
    <col min="4" max="4" width="20.28515625" style="2" bestFit="1" customWidth="1"/>
    <col min="5" max="5" width="22.7109375" style="2" customWidth="1"/>
    <col min="6" max="6" width="23.140625" style="2" customWidth="1"/>
    <col min="7" max="7" width="19.7109375" style="2" customWidth="1"/>
    <col min="8" max="8" width="4" style="2" customWidth="1"/>
    <col min="9" max="9" width="21.85546875" style="2" customWidth="1"/>
    <col min="10" max="10" width="14.42578125" style="2" customWidth="1"/>
    <col min="11" max="12" width="21.85546875" style="2" customWidth="1"/>
    <col min="13" max="16384" width="16" style="2"/>
  </cols>
  <sheetData>
    <row r="1" spans="1:22" ht="15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22" ht="15" x14ac:dyDescent="0.2">
      <c r="A2" s="45" t="s">
        <v>142</v>
      </c>
      <c r="B2" s="44"/>
      <c r="C2" s="44"/>
      <c r="D2" s="44"/>
      <c r="E2" s="44"/>
      <c r="F2" s="44"/>
      <c r="G2" s="44"/>
      <c r="H2" s="44"/>
    </row>
    <row r="3" spans="1:22" ht="15" x14ac:dyDescent="0.2">
      <c r="A3" s="46" t="s">
        <v>162</v>
      </c>
      <c r="B3" s="46"/>
      <c r="C3" s="46"/>
      <c r="D3" s="46"/>
      <c r="E3" s="46"/>
      <c r="F3" s="46"/>
      <c r="G3" s="46"/>
      <c r="H3" s="46"/>
    </row>
    <row r="5" spans="1:22" x14ac:dyDescent="0.2">
      <c r="A5" s="4" t="s">
        <v>163</v>
      </c>
    </row>
    <row r="7" spans="1:22" x14ac:dyDescent="0.2">
      <c r="A7" s="2" t="s">
        <v>1</v>
      </c>
    </row>
    <row r="9" spans="1:22" x14ac:dyDescent="0.2">
      <c r="A9" s="2" t="s">
        <v>145</v>
      </c>
      <c r="B9" s="2" t="s">
        <v>146</v>
      </c>
    </row>
    <row r="11" spans="1:22" x14ac:dyDescent="0.2">
      <c r="B11" s="2" t="s">
        <v>150</v>
      </c>
      <c r="C11" s="4"/>
    </row>
    <row r="12" spans="1:22" x14ac:dyDescent="0.2">
      <c r="E12" s="5" t="s">
        <v>2</v>
      </c>
    </row>
    <row r="13" spans="1:22" x14ac:dyDescent="0.2">
      <c r="A13" s="2">
        <v>1</v>
      </c>
      <c r="B13" s="2" t="s">
        <v>3</v>
      </c>
      <c r="C13" s="14"/>
    </row>
    <row r="14" spans="1:22" x14ac:dyDescent="0.2">
      <c r="A14" s="2">
        <v>2</v>
      </c>
      <c r="B14" s="4" t="s">
        <v>126</v>
      </c>
      <c r="C14" s="14"/>
      <c r="D14" s="36">
        <v>8.0452999999999913E-3</v>
      </c>
      <c r="E14" s="6">
        <v>30</v>
      </c>
      <c r="F14" s="7">
        <f t="shared" ref="F14:F25" si="0">C14*D14*(E14/E$26)</f>
        <v>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2">
      <c r="A15" s="2">
        <v>3</v>
      </c>
      <c r="B15" s="4" t="s">
        <v>127</v>
      </c>
      <c r="C15" s="14"/>
      <c r="D15" s="36">
        <v>8.1378000000000006E-3</v>
      </c>
      <c r="E15" s="6">
        <v>30</v>
      </c>
      <c r="F15" s="7">
        <f t="shared" si="0"/>
        <v>0</v>
      </c>
    </row>
    <row r="16" spans="1:22" x14ac:dyDescent="0.2">
      <c r="A16" s="2">
        <v>4</v>
      </c>
      <c r="B16" s="4" t="s">
        <v>128</v>
      </c>
      <c r="C16" s="14"/>
      <c r="D16" s="36">
        <v>8.2305E-3</v>
      </c>
      <c r="E16" s="6">
        <v>30</v>
      </c>
      <c r="F16" s="7">
        <f t="shared" si="0"/>
        <v>0</v>
      </c>
    </row>
    <row r="17" spans="1:7" x14ac:dyDescent="0.2">
      <c r="A17" s="2">
        <v>5</v>
      </c>
      <c r="B17" s="4" t="s">
        <v>129</v>
      </c>
      <c r="C17" s="14"/>
      <c r="D17" s="36">
        <v>8.3259999999999966E-3</v>
      </c>
      <c r="E17" s="6">
        <v>30</v>
      </c>
      <c r="F17" s="7">
        <f t="shared" si="0"/>
        <v>0</v>
      </c>
    </row>
    <row r="18" spans="1:7" x14ac:dyDescent="0.2">
      <c r="A18" s="2">
        <v>6</v>
      </c>
      <c r="B18" s="4" t="s">
        <v>130</v>
      </c>
      <c r="C18" s="14"/>
      <c r="D18" s="36">
        <v>8.4197999999999999E-3</v>
      </c>
      <c r="E18" s="6">
        <v>30</v>
      </c>
      <c r="F18" s="7">
        <f t="shared" si="0"/>
        <v>0</v>
      </c>
    </row>
    <row r="19" spans="1:7" x14ac:dyDescent="0.2">
      <c r="A19" s="2">
        <v>7</v>
      </c>
      <c r="B19" s="4" t="s">
        <v>131</v>
      </c>
      <c r="C19" s="14"/>
      <c r="D19" s="36">
        <v>8.5150999999999907E-3</v>
      </c>
      <c r="E19" s="6">
        <v>30</v>
      </c>
      <c r="F19" s="7">
        <f t="shared" si="0"/>
        <v>0</v>
      </c>
    </row>
    <row r="20" spans="1:7" x14ac:dyDescent="0.2">
      <c r="A20" s="2">
        <v>8</v>
      </c>
      <c r="B20" s="4" t="s">
        <v>132</v>
      </c>
      <c r="C20" s="14"/>
      <c r="D20" s="36">
        <v>9.056899999999991E-3</v>
      </c>
      <c r="E20" s="6">
        <v>30</v>
      </c>
      <c r="F20" s="7">
        <f t="shared" si="0"/>
        <v>0</v>
      </c>
    </row>
    <row r="21" spans="1:7" x14ac:dyDescent="0.2">
      <c r="A21" s="2">
        <v>9</v>
      </c>
      <c r="B21" s="4" t="s">
        <v>133</v>
      </c>
      <c r="C21" s="14"/>
      <c r="D21" s="36">
        <v>9.2013000000000008E-3</v>
      </c>
      <c r="E21" s="6">
        <v>30</v>
      </c>
      <c r="F21" s="7">
        <f t="shared" si="0"/>
        <v>0</v>
      </c>
    </row>
    <row r="22" spans="1:7" x14ac:dyDescent="0.2">
      <c r="A22" s="2">
        <v>10</v>
      </c>
      <c r="B22" s="4" t="s">
        <v>134</v>
      </c>
      <c r="C22" s="14"/>
      <c r="D22" s="36">
        <v>9.3176999999999999E-3</v>
      </c>
      <c r="E22" s="6">
        <v>30</v>
      </c>
      <c r="F22" s="7">
        <f t="shared" si="0"/>
        <v>0</v>
      </c>
    </row>
    <row r="23" spans="1:7" x14ac:dyDescent="0.2">
      <c r="A23" s="2">
        <v>11</v>
      </c>
      <c r="B23" s="4" t="s">
        <v>135</v>
      </c>
      <c r="C23" s="14"/>
      <c r="D23" s="36">
        <v>9.4373999999999986E-3</v>
      </c>
      <c r="E23" s="6">
        <v>30</v>
      </c>
      <c r="F23" s="7">
        <f t="shared" si="0"/>
        <v>0</v>
      </c>
    </row>
    <row r="24" spans="1:7" x14ac:dyDescent="0.2">
      <c r="A24" s="2">
        <v>12</v>
      </c>
      <c r="B24" s="4" t="s">
        <v>136</v>
      </c>
      <c r="C24" s="14"/>
      <c r="D24" s="36">
        <v>9.5493000000000001E-3</v>
      </c>
      <c r="E24" s="6">
        <v>30</v>
      </c>
      <c r="F24" s="7">
        <f t="shared" si="0"/>
        <v>0</v>
      </c>
    </row>
    <row r="25" spans="1:7" x14ac:dyDescent="0.2">
      <c r="A25" s="2">
        <v>13</v>
      </c>
      <c r="B25" s="4" t="s">
        <v>137</v>
      </c>
      <c r="C25" s="14">
        <v>37322397.650868103</v>
      </c>
      <c r="D25" s="36">
        <v>9.6650999999999994E-3</v>
      </c>
      <c r="E25" s="6">
        <v>30</v>
      </c>
      <c r="F25" s="7">
        <f t="shared" si="0"/>
        <v>30060.392127950436</v>
      </c>
    </row>
    <row r="26" spans="1:7" x14ac:dyDescent="0.2">
      <c r="B26" s="4" t="s">
        <v>167</v>
      </c>
      <c r="C26" s="9">
        <f>SUM(C14:C25)</f>
        <v>37322397.650868103</v>
      </c>
      <c r="D26" s="2" t="s">
        <v>17</v>
      </c>
      <c r="E26" s="6">
        <f>SUM(E14:E25)</f>
        <v>360</v>
      </c>
      <c r="F26" s="7">
        <f>SUM(F14:F25)</f>
        <v>30060.392127950436</v>
      </c>
      <c r="G26" s="2" t="s">
        <v>18</v>
      </c>
    </row>
    <row r="27" spans="1:7" ht="13.5" thickBot="1" x14ac:dyDescent="0.25"/>
    <row r="28" spans="1:7" ht="13.5" thickBot="1" x14ac:dyDescent="0.25">
      <c r="B28" s="2" t="s">
        <v>19</v>
      </c>
      <c r="C28" s="10">
        <v>37322397.650868103</v>
      </c>
      <c r="D28" s="11"/>
      <c r="F28" s="7">
        <f>ROUND(+F26,2)</f>
        <v>30060.39</v>
      </c>
      <c r="G28" s="2" t="s">
        <v>20</v>
      </c>
    </row>
    <row r="29" spans="1:7" x14ac:dyDescent="0.2">
      <c r="C29" s="11"/>
    </row>
    <row r="31" spans="1:7" x14ac:dyDescent="0.2">
      <c r="A31" s="2" t="s">
        <v>21</v>
      </c>
      <c r="B31" s="2" t="s">
        <v>22</v>
      </c>
    </row>
    <row r="33" spans="1:8" ht="13.5" thickBot="1" x14ac:dyDescent="0.25">
      <c r="C33" s="2" t="s">
        <v>24</v>
      </c>
      <c r="E33" s="7">
        <f>F28</f>
        <v>30060.39</v>
      </c>
    </row>
    <row r="34" spans="1:8" ht="13.5" thickBot="1" x14ac:dyDescent="0.25">
      <c r="C34" s="2" t="s">
        <v>25</v>
      </c>
      <c r="E34" s="9">
        <f>C28</f>
        <v>37322397.650868103</v>
      </c>
      <c r="F34" s="6" t="s">
        <v>26</v>
      </c>
      <c r="G34" s="42">
        <f>IF(E34=0,0,ROUND(E33/E34*12,5))</f>
        <v>9.6699999999999998E-3</v>
      </c>
      <c r="H34" s="12"/>
    </row>
    <row r="35" spans="1:8" ht="13.5" thickTop="1" x14ac:dyDescent="0.2">
      <c r="G35" s="13"/>
    </row>
    <row r="37" spans="1:8" x14ac:dyDescent="0.2">
      <c r="A37" s="2" t="s">
        <v>27</v>
      </c>
      <c r="B37" s="2" t="s">
        <v>28</v>
      </c>
    </row>
    <row r="39" spans="1:8" x14ac:dyDescent="0.2">
      <c r="B39" s="4" t="s">
        <v>151</v>
      </c>
      <c r="C39" s="4"/>
      <c r="D39" s="11"/>
    </row>
    <row r="40" spans="1:8" ht="13.5" thickBot="1" x14ac:dyDescent="0.25">
      <c r="D40" s="11"/>
    </row>
    <row r="41" spans="1:8" ht="13.5" thickBot="1" x14ac:dyDescent="0.25">
      <c r="C41" s="2" t="s">
        <v>29</v>
      </c>
      <c r="D41" s="10">
        <v>2324200000</v>
      </c>
      <c r="E41" s="14"/>
    </row>
    <row r="42" spans="1:8" x14ac:dyDescent="0.2">
      <c r="D42" s="11"/>
    </row>
    <row r="43" spans="1:8" x14ac:dyDescent="0.2">
      <c r="D43" s="7"/>
    </row>
    <row r="44" spans="1:8" x14ac:dyDescent="0.2">
      <c r="A44" s="2" t="s">
        <v>30</v>
      </c>
      <c r="B44" s="2" t="s">
        <v>31</v>
      </c>
    </row>
    <row r="46" spans="1:8" x14ac:dyDescent="0.2">
      <c r="B46" s="2" t="s">
        <v>149</v>
      </c>
    </row>
    <row r="48" spans="1:8" x14ac:dyDescent="0.2">
      <c r="B48" s="2" t="s">
        <v>33</v>
      </c>
      <c r="C48" s="3">
        <v>91357259.617377356</v>
      </c>
    </row>
    <row r="49" spans="1:6" ht="13.5" customHeight="1" thickBot="1" x14ac:dyDescent="0.25">
      <c r="C49" s="3"/>
    </row>
    <row r="50" spans="1:6" ht="13.5" customHeight="1" thickBot="1" x14ac:dyDescent="0.25">
      <c r="B50" s="2" t="s">
        <v>35</v>
      </c>
      <c r="C50" s="7">
        <f>D41</f>
        <v>2324200000</v>
      </c>
      <c r="D50" s="15" t="s">
        <v>154</v>
      </c>
      <c r="E50" s="16">
        <f>ROUND(+C48/C50,5)</f>
        <v>3.9309999999999998E-2</v>
      </c>
      <c r="F50" s="38"/>
    </row>
    <row r="51" spans="1:6" ht="13.5" customHeight="1" x14ac:dyDescent="0.2">
      <c r="C51" s="7"/>
      <c r="D51" s="15"/>
      <c r="E51" s="11"/>
      <c r="F51" s="38"/>
    </row>
    <row r="52" spans="1:6" ht="13.5" customHeight="1" x14ac:dyDescent="0.2">
      <c r="D52" s="7"/>
      <c r="F52" s="38"/>
    </row>
    <row r="53" spans="1:6" x14ac:dyDescent="0.2">
      <c r="A53" s="2" t="s">
        <v>36</v>
      </c>
      <c r="B53" s="2" t="s">
        <v>37</v>
      </c>
    </row>
    <row r="55" spans="1:6" x14ac:dyDescent="0.2">
      <c r="B55" s="2" t="s">
        <v>38</v>
      </c>
    </row>
    <row r="56" spans="1:6" ht="13.5" thickBot="1" x14ac:dyDescent="0.25"/>
    <row r="57" spans="1:6" ht="13.5" thickBot="1" x14ac:dyDescent="0.25">
      <c r="C57" s="2" t="s">
        <v>152</v>
      </c>
      <c r="D57" s="10">
        <v>0</v>
      </c>
      <c r="E57" s="11"/>
    </row>
    <row r="58" spans="1:6" x14ac:dyDescent="0.2">
      <c r="D58" s="17"/>
      <c r="E58" s="11"/>
    </row>
    <row r="59" spans="1:6" x14ac:dyDescent="0.2">
      <c r="D59" s="11"/>
    </row>
    <row r="60" spans="1:6" x14ac:dyDescent="0.2">
      <c r="A60" s="2" t="s">
        <v>39</v>
      </c>
      <c r="B60" s="2" t="s">
        <v>40</v>
      </c>
    </row>
    <row r="62" spans="1:6" x14ac:dyDescent="0.2">
      <c r="B62" s="2" t="s">
        <v>148</v>
      </c>
    </row>
    <row r="64" spans="1:6" x14ac:dyDescent="0.2">
      <c r="C64" s="15" t="s">
        <v>32</v>
      </c>
      <c r="D64" s="2" t="s">
        <v>42</v>
      </c>
    </row>
    <row r="65" spans="1:9" ht="13.5" thickBot="1" x14ac:dyDescent="0.25">
      <c r="C65" s="15" t="s">
        <v>43</v>
      </c>
      <c r="D65" s="2" t="s">
        <v>44</v>
      </c>
      <c r="F65" s="2" t="s">
        <v>34</v>
      </c>
    </row>
    <row r="66" spans="1:9" ht="13.5" thickTop="1" x14ac:dyDescent="0.2">
      <c r="C66" s="13"/>
      <c r="D66" s="13"/>
      <c r="E66" s="13"/>
      <c r="F66" s="13"/>
    </row>
    <row r="67" spans="1:9" x14ac:dyDescent="0.2">
      <c r="C67" s="14">
        <v>0</v>
      </c>
      <c r="D67" s="23"/>
      <c r="F67" s="14">
        <f>C67*D67</f>
        <v>0</v>
      </c>
    </row>
    <row r="68" spans="1:9" x14ac:dyDescent="0.2">
      <c r="C68" s="14">
        <v>0</v>
      </c>
      <c r="D68" s="23"/>
      <c r="F68" s="14">
        <f>C68*D68</f>
        <v>0</v>
      </c>
    </row>
    <row r="69" spans="1:9" x14ac:dyDescent="0.2">
      <c r="E69" s="2" t="s">
        <v>34</v>
      </c>
      <c r="F69" s="9">
        <f>SUM(F67:F68)</f>
        <v>0</v>
      </c>
    </row>
    <row r="70" spans="1:9" ht="15" x14ac:dyDescent="0.2">
      <c r="E70" s="2" t="s">
        <v>45</v>
      </c>
      <c r="F70" s="9">
        <f>D57</f>
        <v>0</v>
      </c>
      <c r="I70" s="38"/>
    </row>
    <row r="71" spans="1:9" ht="15.75" thickBot="1" x14ac:dyDescent="0.25">
      <c r="H71" s="38"/>
    </row>
    <row r="72" spans="1:9" ht="13.5" thickBot="1" x14ac:dyDescent="0.25">
      <c r="E72" s="15" t="s">
        <v>153</v>
      </c>
      <c r="F72" s="16">
        <v>0</v>
      </c>
    </row>
    <row r="73" spans="1:9" x14ac:dyDescent="0.2">
      <c r="E73" s="15"/>
      <c r="F73" s="11"/>
    </row>
    <row r="75" spans="1:9" x14ac:dyDescent="0.2">
      <c r="A75" s="2" t="s">
        <v>46</v>
      </c>
      <c r="B75" s="2" t="s">
        <v>47</v>
      </c>
    </row>
    <row r="77" spans="1:9" x14ac:dyDescent="0.2">
      <c r="B77" s="2" t="s">
        <v>147</v>
      </c>
    </row>
    <row r="78" spans="1:9" ht="13.5" thickBot="1" x14ac:dyDescent="0.25"/>
    <row r="79" spans="1:9" ht="13.5" thickBot="1" x14ac:dyDescent="0.25">
      <c r="C79" s="2" t="s">
        <v>48</v>
      </c>
      <c r="D79" s="10">
        <v>2646345855.8858399</v>
      </c>
      <c r="E79" s="11"/>
    </row>
    <row r="80" spans="1:9" x14ac:dyDescent="0.2">
      <c r="D80" s="17"/>
      <c r="E80" s="11"/>
    </row>
    <row r="81" spans="1:6" x14ac:dyDescent="0.2">
      <c r="D81" s="11"/>
    </row>
    <row r="82" spans="1:6" x14ac:dyDescent="0.2">
      <c r="A82" s="2" t="s">
        <v>49</v>
      </c>
      <c r="B82" s="2" t="s">
        <v>50</v>
      </c>
    </row>
    <row r="83" spans="1:6" ht="13.5" thickBot="1" x14ac:dyDescent="0.25"/>
    <row r="84" spans="1:6" ht="13.5" thickBot="1" x14ac:dyDescent="0.25">
      <c r="C84" s="2" t="s">
        <v>51</v>
      </c>
      <c r="D84" s="37">
        <v>0.1</v>
      </c>
      <c r="E84" s="11"/>
    </row>
    <row r="85" spans="1:6" x14ac:dyDescent="0.2">
      <c r="D85" s="43"/>
      <c r="E85" s="11"/>
    </row>
    <row r="87" spans="1:6" x14ac:dyDescent="0.2">
      <c r="A87" s="2" t="s">
        <v>52</v>
      </c>
      <c r="B87" s="2" t="s">
        <v>53</v>
      </c>
    </row>
    <row r="89" spans="1:6" x14ac:dyDescent="0.2">
      <c r="B89" s="2" t="s">
        <v>23</v>
      </c>
      <c r="D89" s="6" t="s">
        <v>54</v>
      </c>
      <c r="E89" s="18"/>
      <c r="F89" s="18"/>
    </row>
    <row r="90" spans="1:6" x14ac:dyDescent="0.2">
      <c r="D90" s="6" t="s">
        <v>55</v>
      </c>
      <c r="E90" s="18"/>
      <c r="F90" s="6"/>
    </row>
    <row r="91" spans="1:6" x14ac:dyDescent="0.2">
      <c r="B91" s="2">
        <v>1</v>
      </c>
      <c r="C91" s="2" t="s">
        <v>3</v>
      </c>
      <c r="D91" s="14"/>
      <c r="E91" s="14"/>
      <c r="F91" s="14"/>
    </row>
    <row r="92" spans="1:6" x14ac:dyDescent="0.2">
      <c r="B92" s="2">
        <v>2</v>
      </c>
      <c r="C92" s="4" t="s">
        <v>126</v>
      </c>
      <c r="D92" s="14"/>
      <c r="E92" s="14"/>
      <c r="F92" s="14"/>
    </row>
    <row r="93" spans="1:6" x14ac:dyDescent="0.2">
      <c r="B93" s="2">
        <v>3</v>
      </c>
      <c r="C93" s="4" t="s">
        <v>127</v>
      </c>
      <c r="D93" s="14"/>
      <c r="E93" s="14"/>
      <c r="F93" s="14"/>
    </row>
    <row r="94" spans="1:6" x14ac:dyDescent="0.2">
      <c r="B94" s="2">
        <v>4</v>
      </c>
      <c r="C94" s="4" t="s">
        <v>128</v>
      </c>
      <c r="D94" s="14"/>
      <c r="E94" s="14"/>
      <c r="F94" s="14"/>
    </row>
    <row r="95" spans="1:6" x14ac:dyDescent="0.2">
      <c r="B95" s="2">
        <v>5</v>
      </c>
      <c r="C95" s="4" t="s">
        <v>129</v>
      </c>
      <c r="D95" s="14"/>
      <c r="E95" s="14"/>
      <c r="F95" s="14"/>
    </row>
    <row r="96" spans="1:6" x14ac:dyDescent="0.2">
      <c r="B96" s="2">
        <v>6</v>
      </c>
      <c r="C96" s="4" t="s">
        <v>130</v>
      </c>
      <c r="D96" s="14"/>
      <c r="E96" s="14"/>
      <c r="F96" s="14"/>
    </row>
    <row r="97" spans="2:6" x14ac:dyDescent="0.2">
      <c r="B97" s="2">
        <v>7</v>
      </c>
      <c r="C97" s="4" t="s">
        <v>131</v>
      </c>
      <c r="D97" s="14"/>
      <c r="E97" s="14"/>
      <c r="F97" s="14"/>
    </row>
    <row r="98" spans="2:6" x14ac:dyDescent="0.2">
      <c r="B98" s="2">
        <v>8</v>
      </c>
      <c r="C98" s="4" t="s">
        <v>132</v>
      </c>
      <c r="D98" s="14"/>
      <c r="E98" s="14"/>
      <c r="F98" s="14"/>
    </row>
    <row r="99" spans="2:6" x14ac:dyDescent="0.2">
      <c r="B99" s="2">
        <v>9</v>
      </c>
      <c r="C99" s="4" t="s">
        <v>133</v>
      </c>
      <c r="D99" s="14"/>
      <c r="E99" s="14"/>
      <c r="F99" s="14"/>
    </row>
    <row r="100" spans="2:6" x14ac:dyDescent="0.2">
      <c r="B100" s="2">
        <v>10</v>
      </c>
      <c r="C100" s="4" t="s">
        <v>134</v>
      </c>
      <c r="D100" s="14"/>
      <c r="E100" s="14"/>
      <c r="F100" s="14"/>
    </row>
    <row r="101" spans="2:6" x14ac:dyDescent="0.2">
      <c r="B101" s="2">
        <v>11</v>
      </c>
      <c r="C101" s="4" t="s">
        <v>135</v>
      </c>
      <c r="D101" s="14"/>
      <c r="E101" s="14"/>
      <c r="F101" s="14"/>
    </row>
    <row r="102" spans="2:6" x14ac:dyDescent="0.2">
      <c r="B102" s="2">
        <v>12</v>
      </c>
      <c r="C102" s="4" t="s">
        <v>136</v>
      </c>
      <c r="D102" s="14"/>
      <c r="E102" s="14"/>
      <c r="F102" s="14"/>
    </row>
    <row r="103" spans="2:6" x14ac:dyDescent="0.2">
      <c r="B103" s="2">
        <v>13</v>
      </c>
      <c r="C103" s="4" t="s">
        <v>137</v>
      </c>
      <c r="D103" s="47">
        <v>228700.53158879996</v>
      </c>
      <c r="E103" s="14"/>
      <c r="F103" s="14"/>
    </row>
    <row r="104" spans="2:6" x14ac:dyDescent="0.2">
      <c r="C104" s="2" t="s">
        <v>34</v>
      </c>
      <c r="D104" s="14">
        <f>SUM(D91:D103)</f>
        <v>228700.53158879996</v>
      </c>
      <c r="F104" s="14"/>
    </row>
    <row r="105" spans="2:6" x14ac:dyDescent="0.2">
      <c r="F105" s="14"/>
    </row>
    <row r="106" spans="2:6" x14ac:dyDescent="0.2">
      <c r="D106" s="15" t="s">
        <v>56</v>
      </c>
      <c r="F106" s="15"/>
    </row>
    <row r="107" spans="2:6" x14ac:dyDescent="0.2">
      <c r="F107" s="15"/>
    </row>
    <row r="108" spans="2:6" x14ac:dyDescent="0.2">
      <c r="D108" s="14">
        <f>ROUND(D104,0)</f>
        <v>228701</v>
      </c>
      <c r="F108" s="14"/>
    </row>
    <row r="109" spans="2:6" x14ac:dyDescent="0.2">
      <c r="D109" s="19" t="s">
        <v>57</v>
      </c>
    </row>
    <row r="110" spans="2:6" ht="13.5" thickBot="1" x14ac:dyDescent="0.25"/>
    <row r="111" spans="2:6" ht="13.5" thickBot="1" x14ac:dyDescent="0.25">
      <c r="C111" s="6" t="s">
        <v>58</v>
      </c>
      <c r="D111" s="20">
        <f>D108*1000</f>
        <v>228701000</v>
      </c>
      <c r="E111" s="6"/>
      <c r="F111" s="21"/>
    </row>
    <row r="114" spans="1:4" x14ac:dyDescent="0.2">
      <c r="A114" s="4" t="s">
        <v>139</v>
      </c>
    </row>
    <row r="116" spans="1:4" x14ac:dyDescent="0.2">
      <c r="A116" s="4" t="s">
        <v>60</v>
      </c>
      <c r="C116" s="14">
        <f>C28</f>
        <v>37322397.650868103</v>
      </c>
      <c r="D116" s="1" t="s">
        <v>140</v>
      </c>
    </row>
    <row r="117" spans="1:4" x14ac:dyDescent="0.2">
      <c r="A117" s="4" t="s">
        <v>61</v>
      </c>
      <c r="C117" s="22">
        <f>G34</f>
        <v>9.6699999999999998E-3</v>
      </c>
      <c r="D117" s="1" t="s">
        <v>140</v>
      </c>
    </row>
    <row r="118" spans="1:4" x14ac:dyDescent="0.2">
      <c r="A118" s="4" t="s">
        <v>62</v>
      </c>
      <c r="C118" s="14">
        <f>D41</f>
        <v>2324200000</v>
      </c>
      <c r="D118" s="1" t="s">
        <v>140</v>
      </c>
    </row>
    <row r="119" spans="1:4" x14ac:dyDescent="0.2">
      <c r="A119" s="4" t="s">
        <v>63</v>
      </c>
      <c r="C119" s="22">
        <f>E50</f>
        <v>3.9309999999999998E-2</v>
      </c>
      <c r="D119" s="1" t="s">
        <v>141</v>
      </c>
    </row>
    <row r="120" spans="1:4" x14ac:dyDescent="0.2">
      <c r="A120" s="4" t="s">
        <v>41</v>
      </c>
      <c r="C120" s="14">
        <f>D57</f>
        <v>0</v>
      </c>
      <c r="D120" s="1"/>
    </row>
    <row r="121" spans="1:4" x14ac:dyDescent="0.2">
      <c r="A121" s="4" t="s">
        <v>64</v>
      </c>
      <c r="C121" s="22">
        <f>F72</f>
        <v>0</v>
      </c>
      <c r="D121" s="1"/>
    </row>
    <row r="122" spans="1:4" x14ac:dyDescent="0.2">
      <c r="A122" s="4" t="s">
        <v>65</v>
      </c>
      <c r="C122" s="14">
        <f>D79</f>
        <v>2646345855.8858399</v>
      </c>
      <c r="D122" s="1" t="s">
        <v>140</v>
      </c>
    </row>
    <row r="123" spans="1:4" x14ac:dyDescent="0.2">
      <c r="A123" s="4" t="s">
        <v>66</v>
      </c>
      <c r="C123" s="23">
        <f>D84</f>
        <v>0.1</v>
      </c>
      <c r="D123" s="1"/>
    </row>
    <row r="124" spans="1:4" x14ac:dyDescent="0.2">
      <c r="A124" s="4" t="s">
        <v>67</v>
      </c>
      <c r="C124" s="14">
        <f>D111</f>
        <v>228701000</v>
      </c>
      <c r="D124" s="1" t="s">
        <v>140</v>
      </c>
    </row>
    <row r="127" spans="1:4" x14ac:dyDescent="0.2">
      <c r="B127" s="2" t="s">
        <v>68</v>
      </c>
    </row>
    <row r="128" spans="1:4" x14ac:dyDescent="0.2">
      <c r="A128" s="2" t="s">
        <v>69</v>
      </c>
    </row>
    <row r="130" spans="1:9" x14ac:dyDescent="0.2">
      <c r="C130" s="24" t="s">
        <v>70</v>
      </c>
    </row>
    <row r="131" spans="1:9" x14ac:dyDescent="0.2">
      <c r="A131" s="2" t="s">
        <v>71</v>
      </c>
      <c r="B131" s="15" t="s">
        <v>72</v>
      </c>
      <c r="C131" s="24" t="s">
        <v>73</v>
      </c>
      <c r="D131" s="25" t="s">
        <v>74</v>
      </c>
    </row>
    <row r="132" spans="1:9" x14ac:dyDescent="0.2">
      <c r="C132" s="24" t="s">
        <v>75</v>
      </c>
    </row>
    <row r="134" spans="1:9" x14ac:dyDescent="0.2">
      <c r="A134" s="2" t="s">
        <v>71</v>
      </c>
      <c r="B134" s="26">
        <f>ROUND(D134,4)</f>
        <v>1.7000000000000001E-2</v>
      </c>
      <c r="D134" s="2">
        <f>(C117*(C116/C124))+C119*(C118/(C118+C120+C122))*(1-(C116/C124))</f>
        <v>1.695954356918623E-2</v>
      </c>
    </row>
    <row r="138" spans="1:9" x14ac:dyDescent="0.2">
      <c r="A138" s="2" t="s">
        <v>76</v>
      </c>
    </row>
    <row r="140" spans="1:9" x14ac:dyDescent="0.2">
      <c r="C140" s="24" t="s">
        <v>77</v>
      </c>
      <c r="D140" s="24" t="s">
        <v>78</v>
      </c>
      <c r="I140" s="27"/>
    </row>
    <row r="141" spans="1:9" x14ac:dyDescent="0.2">
      <c r="A141" s="2" t="s">
        <v>79</v>
      </c>
      <c r="B141" s="15" t="s">
        <v>80</v>
      </c>
      <c r="C141" s="24" t="s">
        <v>81</v>
      </c>
      <c r="D141" s="24" t="s">
        <v>82</v>
      </c>
    </row>
    <row r="142" spans="1:9" x14ac:dyDescent="0.2">
      <c r="C142" s="24" t="s">
        <v>83</v>
      </c>
      <c r="D142" s="24" t="s">
        <v>83</v>
      </c>
    </row>
    <row r="144" spans="1:9" x14ac:dyDescent="0.2">
      <c r="A144" s="2" t="s">
        <v>79</v>
      </c>
      <c r="B144" s="26">
        <f>ROUND(D144,4)</f>
        <v>4.4600000000000001E-2</v>
      </c>
      <c r="D144" s="2">
        <f>(1-C116/C124)*(C121*(C120/(C118+C120+C122))+C123*(C122/(C118+C120+C122)))</f>
        <v>4.4552064391862573E-2</v>
      </c>
    </row>
    <row r="148" spans="1:7" x14ac:dyDescent="0.2">
      <c r="A148" s="2" t="s">
        <v>84</v>
      </c>
    </row>
    <row r="149" spans="1:7" x14ac:dyDescent="0.2">
      <c r="A149" s="28"/>
      <c r="B149" s="28"/>
    </row>
    <row r="150" spans="1:7" x14ac:dyDescent="0.2">
      <c r="C150" s="18"/>
      <c r="D150" s="18"/>
    </row>
    <row r="151" spans="1:7" x14ac:dyDescent="0.2">
      <c r="C151" s="29"/>
      <c r="G151" s="6"/>
    </row>
    <row r="152" spans="1:7" x14ac:dyDescent="0.2">
      <c r="C152" s="18"/>
      <c r="G152" s="6"/>
    </row>
    <row r="153" spans="1:7" x14ac:dyDescent="0.2">
      <c r="A153" s="2" t="s">
        <v>71</v>
      </c>
      <c r="B153" s="30">
        <f>ROUND(+D134,4)</f>
        <v>1.7000000000000001E-2</v>
      </c>
      <c r="C153" s="30">
        <v>1</v>
      </c>
      <c r="D153" s="30">
        <v>1</v>
      </c>
      <c r="E153" s="39">
        <f>+B153*C153*D153</f>
        <v>1.7000000000000001E-2</v>
      </c>
      <c r="G153" s="40"/>
    </row>
    <row r="154" spans="1:7" x14ac:dyDescent="0.2">
      <c r="A154" s="2" t="s">
        <v>85</v>
      </c>
      <c r="B154" s="30">
        <f>ROUND(+D144,4)</f>
        <v>4.4600000000000001E-2</v>
      </c>
      <c r="C154" s="30">
        <v>1</v>
      </c>
      <c r="D154" s="30">
        <v>1</v>
      </c>
      <c r="E154" s="41">
        <f>+B154*C154*D154</f>
        <v>4.4600000000000001E-2</v>
      </c>
      <c r="G154" s="40"/>
    </row>
    <row r="155" spans="1:7" x14ac:dyDescent="0.2">
      <c r="B155" s="28"/>
      <c r="C155" s="31"/>
      <c r="D155" s="31"/>
    </row>
    <row r="156" spans="1:7" ht="13.5" thickBot="1" x14ac:dyDescent="0.25">
      <c r="B156" s="23">
        <f>SUM(B153:B154)</f>
        <v>6.1600000000000002E-2</v>
      </c>
      <c r="C156" s="32">
        <v>1</v>
      </c>
      <c r="D156" s="32">
        <v>1</v>
      </c>
      <c r="E156" s="33">
        <f>SUM(E153:E155)</f>
        <v>6.1600000000000002E-2</v>
      </c>
    </row>
    <row r="157" spans="1:7" ht="13.5" thickTop="1" x14ac:dyDescent="0.2">
      <c r="B157" s="34"/>
      <c r="D157" s="34"/>
      <c r="E157" s="35"/>
    </row>
  </sheetData>
  <mergeCells count="3">
    <mergeCell ref="A1:H1"/>
    <mergeCell ref="A2:H2"/>
    <mergeCell ref="A3:H3"/>
  </mergeCells>
  <pageMargins left="0.75" right="0.75" top="0.5" bottom="0.5" header="0.5" footer="0.5"/>
  <pageSetup scale="62" orientation="portrait" r:id="rId1"/>
  <headerFooter alignWithMargins="0">
    <oddFooter>&amp;R&amp;"Times New Roman,Bold"&amp;12Case No. 2020-00350
Attachment to Response to US DOD-FEA Question No. 29
Page &amp;P of &amp;N
Blake</oddFooter>
  </headerFooter>
  <rowBreaks count="2" manualBreakCount="2">
    <brk id="51" max="7" man="1"/>
    <brk id="1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5" ma:contentTypeDescription="Create a new document." ma:contentTypeScope="" ma:versionID="eae1364508315b2920f79f01a5d5b329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abcc0630d2075f4119cf8416546f338e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029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U.S. Dept. of Defense/Federal Executive Agencies - DOD/FEA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F1E8B9CF-3C92-40A9-927D-22CD443896A1}"/>
</file>

<file path=customXml/itemProps2.xml><?xml version="1.0" encoding="utf-8"?>
<ds:datastoreItem xmlns:ds="http://schemas.openxmlformats.org/officeDocument/2006/customXml" ds:itemID="{909348CB-E28C-4B61-8D59-938FE6639FA8}"/>
</file>

<file path=customXml/itemProps3.xml><?xml version="1.0" encoding="utf-8"?>
<ds:datastoreItem xmlns:ds="http://schemas.openxmlformats.org/officeDocument/2006/customXml" ds:itemID="{96F80FAD-7779-4FD1-A8F2-0527B0C68744}"/>
</file>

<file path=customXml/itemProps4.xml><?xml version="1.0" encoding="utf-8"?>
<ds:datastoreItem xmlns:ds="http://schemas.openxmlformats.org/officeDocument/2006/customXml" ds:itemID="{88FE2100-680A-42FB-AD54-A686AD9CC5EA}"/>
</file>

<file path=customXml/itemProps5.xml><?xml version="1.0" encoding="utf-8"?>
<ds:datastoreItem xmlns:ds="http://schemas.openxmlformats.org/officeDocument/2006/customXml" ds:itemID="{528F72E7-53A7-43E3-B720-523654691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2021</vt:lpstr>
      <vt:lpstr>2022</vt:lpstr>
      <vt:lpstr>2023</vt:lpstr>
      <vt:lpstr>2024</vt:lpstr>
      <vt:lpstr>2025</vt:lpstr>
      <vt:lpstr>2026</vt:lpstr>
      <vt:lpstr>'2021'!Print_Area</vt:lpstr>
      <vt:lpstr>'2022'!Print_Area</vt:lpstr>
      <vt:lpstr>'2023'!Print_Area</vt:lpstr>
      <vt:lpstr>'2024'!Print_Area</vt:lpstr>
      <vt:lpstr>'2025'!Print_Area</vt:lpstr>
      <vt:lpstr>'2026'!Print_Area</vt:lpstr>
      <vt:lpstr>'2021'!Print_Titles</vt:lpstr>
      <vt:lpstr>'2022'!Print_Titles</vt:lpstr>
      <vt:lpstr>'2023'!Print_Titles</vt:lpstr>
      <vt:lpstr>'2024'!Print_Titles</vt:lpstr>
      <vt:lpstr>'2025'!Print_Titles</vt:lpstr>
      <vt:lpstr>'2026'!Print_Titles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2021-02-10T22:44:07Z</dcterms:created>
  <dcterms:modified xsi:type="dcterms:W3CDTF">2021-02-10T23:07:48Z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65de27-20ef-4eb5-94ff-abaf6a06cb9e_Enabled">
    <vt:lpwstr>true</vt:lpwstr>
  </property>
  <property fmtid="{D5CDD505-2E9C-101B-9397-08002B2CF9AE}" pid="3" name="MSIP_Label_e965de27-20ef-4eb5-94ff-abaf6a06cb9e_SetDate">
    <vt:lpwstr>2021-02-10T23:02:02Z</vt:lpwstr>
  </property>
  <property fmtid="{D5CDD505-2E9C-101B-9397-08002B2CF9AE}" pid="4" name="MSIP_Label_e965de27-20ef-4eb5-94ff-abaf6a06cb9e_Method">
    <vt:lpwstr>Privileged</vt:lpwstr>
  </property>
  <property fmtid="{D5CDD505-2E9C-101B-9397-08002B2CF9AE}" pid="5" name="MSIP_Label_e965de27-20ef-4eb5-94ff-abaf6a06cb9e_Name">
    <vt:lpwstr>e965de27-20ef-4eb5-94ff-abaf6a06cb9e</vt:lpwstr>
  </property>
  <property fmtid="{D5CDD505-2E9C-101B-9397-08002B2CF9AE}" pid="6" name="MSIP_Label_e965de27-20ef-4eb5-94ff-abaf6a06cb9e_SiteId">
    <vt:lpwstr>5ee3b0ba-a559-45ee-a69e-6d3e963a3e72</vt:lpwstr>
  </property>
  <property fmtid="{D5CDD505-2E9C-101B-9397-08002B2CF9AE}" pid="7" name="MSIP_Label_e965de27-20ef-4eb5-94ff-abaf6a06cb9e_ActionId">
    <vt:lpwstr>1947deb0-26e5-4d35-a0a9-53ba68907cd6</vt:lpwstr>
  </property>
  <property fmtid="{D5CDD505-2E9C-101B-9397-08002B2CF9AE}" pid="8" name="MSIP_Label_e965de27-20ef-4eb5-94ff-abaf6a06cb9e_ContentBits">
    <vt:lpwstr>0</vt:lpwstr>
  </property>
  <property fmtid="{D5CDD505-2E9C-101B-9397-08002B2CF9AE}" pid="9" name="ContentTypeId">
    <vt:lpwstr>0x0101002D0103853DF7894DB347713A7250CD66</vt:lpwstr>
  </property>
</Properties>
</file>