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L123DTA2\Energy Services\Generation\Stacy\Rate Case\2020 Case\DR3\AG KIUC\LGE 22 and KU 28\"/>
    </mc:Choice>
  </mc:AlternateContent>
  <xr:revisionPtr revIDLastSave="0" documentId="13_ncr:1_{86E2EAF1-9D52-498A-968D-3EFB2520F435}" xr6:coauthVersionLast="45" xr6:coauthVersionMax="45" xr10:uidLastSave="{00000000-0000-0000-0000-000000000000}"/>
  <bookViews>
    <workbookView xWindow="-120" yWindow="-120" windowWidth="29040" windowHeight="15510" tabRatio="626" xr2:uid="{00000000-000D-0000-FFFF-FFFF00000000}"/>
  </bookViews>
  <sheets>
    <sheet name="Roll forward" sheetId="13" r:id="rId1"/>
    <sheet name="LTPC" sheetId="17" r:id="rId2"/>
    <sheet name="Starts" sheetId="14" r:id="rId3"/>
    <sheet name="operating hours" sheetId="15" r:id="rId4"/>
    <sheet name="Fees" sheetId="16" r:id="rId5"/>
  </sheets>
  <definedNames>
    <definedName name="_xlnm._FilterDatabase" localSheetId="2" hidden="1">Starts!$A$5:$O$10</definedName>
    <definedName name="_xlnm.Print_Titles" localSheetId="3">'operating hours'!$A:$A,'operating hours'!$1:$1</definedName>
    <definedName name="_xlnm.Print_Titles" localSheetId="0">'Roll forward'!$A:$A,'Roll forward'!$1:$3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17" l="1"/>
  <c r="Q3" i="17"/>
  <c r="G14" i="13" l="1"/>
  <c r="C4" i="13" l="1"/>
  <c r="B5" i="16"/>
  <c r="B9" i="16"/>
  <c r="U7" i="13" l="1"/>
  <c r="S2" i="15" l="1"/>
  <c r="C5" i="15"/>
  <c r="F5" i="15"/>
  <c r="I5" i="15"/>
  <c r="L5" i="15"/>
  <c r="B11" i="16" l="1"/>
  <c r="P13" i="13" l="1"/>
  <c r="C7" i="14"/>
  <c r="C8" i="14" s="1"/>
  <c r="C9" i="14" s="1"/>
  <c r="C10" i="14" s="1"/>
  <c r="B8" i="16"/>
  <c r="S13" i="13" s="1"/>
  <c r="P15" i="13" l="1"/>
  <c r="P17" i="13"/>
  <c r="S15" i="13"/>
  <c r="S17" i="13"/>
  <c r="C13" i="13"/>
  <c r="O13" i="13"/>
  <c r="G13" i="13"/>
  <c r="W13" i="13"/>
  <c r="D13" i="13"/>
  <c r="H13" i="13"/>
  <c r="X13" i="13"/>
  <c r="T13" i="13"/>
  <c r="K13" i="13"/>
  <c r="L13" i="13"/>
  <c r="E13" i="13"/>
  <c r="I13" i="13"/>
  <c r="M13" i="13"/>
  <c r="Q13" i="13"/>
  <c r="U13" i="13"/>
  <c r="F13" i="13"/>
  <c r="J13" i="13"/>
  <c r="N13" i="13"/>
  <c r="R13" i="13"/>
  <c r="V13" i="13"/>
  <c r="T6" i="13"/>
  <c r="U6" i="13"/>
  <c r="V6" i="13"/>
  <c r="W6" i="13"/>
  <c r="X6" i="13"/>
  <c r="S6" i="13"/>
  <c r="V15" i="13" l="1"/>
  <c r="V17" i="13"/>
  <c r="W15" i="13"/>
  <c r="W17" i="13"/>
  <c r="G15" i="13"/>
  <c r="G17" i="13"/>
  <c r="N15" i="13"/>
  <c r="N17" i="13"/>
  <c r="O15" i="13"/>
  <c r="O17" i="13"/>
  <c r="K15" i="13"/>
  <c r="K17" i="13"/>
  <c r="F15" i="13"/>
  <c r="F17" i="13"/>
  <c r="T15" i="13"/>
  <c r="T17" i="13"/>
  <c r="I15" i="13"/>
  <c r="I17" i="13"/>
  <c r="R15" i="13"/>
  <c r="R17" i="13"/>
  <c r="E15" i="13"/>
  <c r="E17" i="13"/>
  <c r="L15" i="13"/>
  <c r="L17" i="13"/>
  <c r="J15" i="13"/>
  <c r="J17" i="13"/>
  <c r="C15" i="13"/>
  <c r="C17" i="13"/>
  <c r="U15" i="13"/>
  <c r="U17" i="13"/>
  <c r="X15" i="13"/>
  <c r="X17" i="13"/>
  <c r="Q15" i="13"/>
  <c r="Q17" i="13"/>
  <c r="H15" i="13"/>
  <c r="H17" i="13"/>
  <c r="M15" i="13"/>
  <c r="M17" i="13"/>
  <c r="D15" i="13"/>
  <c r="D17" i="13"/>
  <c r="C7" i="13"/>
  <c r="D7" i="13"/>
  <c r="E7" i="13"/>
  <c r="F7" i="13"/>
  <c r="S7" i="13"/>
  <c r="T7" i="13"/>
  <c r="V7" i="13"/>
  <c r="W7" i="13"/>
  <c r="X7" i="13"/>
  <c r="H7" i="13"/>
  <c r="I7" i="13"/>
  <c r="J7" i="13"/>
  <c r="K7" i="13"/>
  <c r="L7" i="13"/>
  <c r="M7" i="13"/>
  <c r="N7" i="13"/>
  <c r="O7" i="13"/>
  <c r="P7" i="13"/>
  <c r="Q7" i="13"/>
  <c r="R7" i="13"/>
  <c r="G7" i="13"/>
  <c r="X5" i="15" l="1"/>
  <c r="U5" i="15"/>
  <c r="R5" i="15"/>
  <c r="O5" i="15"/>
  <c r="S14" i="13" l="1"/>
  <c r="Q7" i="14"/>
  <c r="R7" i="14"/>
  <c r="S7" i="14"/>
  <c r="T7" i="14"/>
  <c r="Q8" i="14"/>
  <c r="R8" i="14"/>
  <c r="S8" i="14"/>
  <c r="C6" i="15" s="1"/>
  <c r="C7" i="15" s="1"/>
  <c r="T8" i="14"/>
  <c r="F6" i="15" s="1"/>
  <c r="F7" i="15" s="1"/>
  <c r="Q9" i="14"/>
  <c r="I6" i="15" s="1"/>
  <c r="I7" i="15" s="1"/>
  <c r="R9" i="14"/>
  <c r="L6" i="15" s="1"/>
  <c r="L7" i="15" s="1"/>
  <c r="S9" i="14"/>
  <c r="O6" i="15" s="1"/>
  <c r="O7" i="15" s="1"/>
  <c r="T9" i="14"/>
  <c r="R6" i="15" s="1"/>
  <c r="R7" i="15" s="1"/>
  <c r="Q10" i="14"/>
  <c r="U6" i="15" s="1"/>
  <c r="U7" i="15" s="1"/>
  <c r="R10" i="14"/>
  <c r="X6" i="15" s="1"/>
  <c r="X7" i="15" s="1"/>
  <c r="S10" i="14"/>
  <c r="T10" i="14"/>
  <c r="T6" i="14"/>
  <c r="S6" i="14"/>
  <c r="R6" i="14"/>
  <c r="Q6" i="14"/>
  <c r="C16" i="13" l="1"/>
  <c r="C18" i="13" s="1"/>
  <c r="Q16" i="13"/>
  <c r="Q18" i="13" s="1"/>
  <c r="W16" i="13"/>
  <c r="W18" i="13" s="1"/>
  <c r="W5" i="13" s="1"/>
  <c r="E16" i="13"/>
  <c r="E18" i="13" s="1"/>
  <c r="E5" i="13" s="1"/>
  <c r="J16" i="13"/>
  <c r="J18" i="13" s="1"/>
  <c r="G16" i="13"/>
  <c r="G18" i="13" s="1"/>
  <c r="N16" i="13"/>
  <c r="N18" i="13" s="1"/>
  <c r="X16" i="13"/>
  <c r="X18" i="13" s="1"/>
  <c r="V16" i="13"/>
  <c r="V18" i="13" s="1"/>
  <c r="D16" i="13"/>
  <c r="D18" i="13" s="1"/>
  <c r="F16" i="13"/>
  <c r="F18" i="13" s="1"/>
  <c r="O16" i="13"/>
  <c r="O18" i="13" s="1"/>
  <c r="P16" i="13"/>
  <c r="P18" i="13" s="1"/>
  <c r="S16" i="13"/>
  <c r="S18" i="13" s="1"/>
  <c r="H16" i="13"/>
  <c r="H18" i="13" s="1"/>
  <c r="R16" i="13"/>
  <c r="R18" i="13" s="1"/>
  <c r="K16" i="13"/>
  <c r="K18" i="13" s="1"/>
  <c r="L16" i="13"/>
  <c r="L18" i="13" s="1"/>
  <c r="M16" i="13"/>
  <c r="M18" i="13" s="1"/>
  <c r="T16" i="13"/>
  <c r="T18" i="13" s="1"/>
  <c r="I16" i="13"/>
  <c r="I18" i="13" s="1"/>
  <c r="U16" i="13"/>
  <c r="U18" i="13" s="1"/>
  <c r="G5" i="13" l="1"/>
  <c r="J5" i="13"/>
  <c r="C5" i="13"/>
  <c r="Q5" i="13"/>
  <c r="V5" i="13"/>
  <c r="I5" i="13"/>
  <c r="R5" i="13"/>
  <c r="S5" i="13"/>
  <c r="P5" i="13"/>
  <c r="T5" i="13"/>
  <c r="D5" i="13"/>
  <c r="K5" i="13"/>
  <c r="F5" i="13"/>
  <c r="X5" i="13"/>
  <c r="N5" i="13"/>
  <c r="U5" i="13"/>
  <c r="L5" i="13"/>
  <c r="H5" i="13"/>
  <c r="O5" i="13"/>
  <c r="M5" i="13"/>
  <c r="C8" i="13" l="1"/>
  <c r="D4" i="13" l="1"/>
  <c r="D8" i="13" s="1"/>
  <c r="E4" i="13" l="1"/>
  <c r="E8" i="13" s="1"/>
  <c r="F4" i="13" l="1"/>
  <c r="F8" i="13" s="1"/>
  <c r="G4" i="13" l="1"/>
  <c r="G8" i="13" s="1"/>
  <c r="H4" i="13" l="1"/>
  <c r="H8" i="13" s="1"/>
  <c r="I4" i="13" l="1"/>
  <c r="I8" i="13" s="1"/>
  <c r="J4" i="13" l="1"/>
  <c r="J8" i="13" s="1"/>
  <c r="K4" i="13" l="1"/>
  <c r="K8" i="13" s="1"/>
  <c r="L4" i="13" l="1"/>
  <c r="L8" i="13" s="1"/>
  <c r="M4" i="13" l="1"/>
  <c r="M8" i="13" s="1"/>
  <c r="N4" i="13" l="1"/>
  <c r="N8" i="13" s="1"/>
  <c r="O4" i="13" l="1"/>
  <c r="O8" i="13" s="1"/>
  <c r="P4" i="13" l="1"/>
  <c r="P8" i="13" s="1"/>
  <c r="Q4" i="13" l="1"/>
  <c r="Q8" i="13" s="1"/>
  <c r="R4" i="13" l="1"/>
  <c r="R8" i="13" s="1"/>
  <c r="S4" i="13" l="1"/>
  <c r="S8" i="13" s="1"/>
  <c r="T4" i="13" l="1"/>
  <c r="T8" i="13" s="1"/>
  <c r="U4" i="13" l="1"/>
  <c r="U8" i="13" s="1"/>
  <c r="V4" i="13" l="1"/>
  <c r="V8" i="13" s="1"/>
  <c r="W4" i="13" l="1"/>
  <c r="W8" i="13" s="1"/>
  <c r="X4" i="13" s="1"/>
  <c r="X8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McKinney, Adam</author>
  </authors>
  <commentList>
    <comment ref="A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McKinney, Adam:</t>
        </r>
        <r>
          <rPr>
            <sz val="9"/>
            <color indexed="81"/>
            <rFont val="Tahoma"/>
            <family val="2"/>
          </rPr>
          <t xml:space="preserve">
Reporter Query:
qry02_BudgetDeliv - CTStarts_ by Unit by Month_GenBudgeting</t>
        </r>
      </text>
    </comment>
  </commentList>
</comments>
</file>

<file path=xl/sharedStrings.xml><?xml version="1.0" encoding="utf-8"?>
<sst xmlns="http://schemas.openxmlformats.org/spreadsheetml/2006/main" count="152" uniqueCount="100">
  <si>
    <t>Maintenance Considerations</t>
  </si>
  <si>
    <t>Scenario</t>
  </si>
  <si>
    <t>EBH - $/Hour/2 Turbines</t>
  </si>
  <si>
    <t>ES - $/Start/2 Turbines</t>
  </si>
  <si>
    <t>Starts</t>
  </si>
  <si>
    <t>Sales Tax</t>
  </si>
  <si>
    <t>LTPC/CSA Costs</t>
  </si>
  <si>
    <t>Deferred Asset roll forward</t>
  </si>
  <si>
    <t>Cash payments</t>
  </si>
  <si>
    <t>LGE Beg balance</t>
  </si>
  <si>
    <t>LGE End balance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</si>
  <si>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</si>
  <si>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</si>
  <si>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</si>
  <si>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</si>
  <si>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</si>
  <si>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</si>
  <si>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</si>
  <si>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</si>
  <si>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</si>
  <si>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</si>
  <si>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</si>
  <si>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</si>
  <si>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CT Starts by Month</t>
  </si>
  <si>
    <t>Group1</t>
  </si>
  <si>
    <t>RollUp</t>
  </si>
  <si>
    <t>Year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</si>
  <si>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</si>
  <si>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</si>
  <si>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</si>
  <si>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</si>
  <si>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</si>
  <si>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</si>
  <si>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</si>
  <si>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</si>
  <si>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</si>
  <si>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</si>
  <si>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</si>
  <si>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</si>
  <si>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Cane Run 7 2X1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</si>
  <si>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</si>
  <si>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</si>
  <si>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</si>
  <si>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</si>
  <si>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</si>
  <si>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</si>
  <si>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</si>
  <si>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</si>
  <si>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</si>
  <si>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</si>
  <si>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</si>
  <si>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Qtrly EBH</t>
  </si>
  <si>
    <t>Quartery Starts</t>
  </si>
  <si>
    <t>Q1</t>
  </si>
  <si>
    <t>Q2</t>
  </si>
  <si>
    <t>Q3</t>
  </si>
  <si>
    <t>Q4</t>
  </si>
  <si>
    <t>Factor</t>
  </si>
  <si>
    <t>Variable fee</t>
  </si>
  <si>
    <t>Materials</t>
  </si>
  <si>
    <t>Sales tax</t>
  </si>
  <si>
    <t>Other</t>
  </si>
  <si>
    <t>Annual fee</t>
  </si>
  <si>
    <t>Inflation factor</t>
  </si>
  <si>
    <t>O&amp;M work (operating)</t>
  </si>
  <si>
    <t>Budget Item</t>
  </si>
  <si>
    <t>Budget Description</t>
  </si>
  <si>
    <t>Company</t>
  </si>
  <si>
    <t>Month 01 Jan</t>
  </si>
  <si>
    <t>Month 02 Feb</t>
  </si>
  <si>
    <t>Month 03 Mar</t>
  </si>
  <si>
    <t>Month 04 Apr</t>
  </si>
  <si>
    <t>Month 05 May</t>
  </si>
  <si>
    <t>Month 06 Jun</t>
  </si>
  <si>
    <t>Month 07 Jul</t>
  </si>
  <si>
    <t>Month 08 Aug</t>
  </si>
  <si>
    <t>Month 09 Sep</t>
  </si>
  <si>
    <t>Month 10 Oct</t>
  </si>
  <si>
    <t>Month 11 Nov</t>
  </si>
  <si>
    <t>Month 12 Dec</t>
  </si>
  <si>
    <t>Total</t>
  </si>
  <si>
    <t>0100</t>
  </si>
  <si>
    <t>154829</t>
  </si>
  <si>
    <t xml:space="preserve">CR7 NGCC CI </t>
  </si>
  <si>
    <t>Variable fee for two units as of 5/31/197 (per May recon)</t>
  </si>
  <si>
    <t>LTPC Calculation</t>
  </si>
  <si>
    <t>2020 Annual fee</t>
  </si>
  <si>
    <t>update for current year per recon schedule plus taxes</t>
  </si>
  <si>
    <t>Monthly Operating Hours</t>
  </si>
  <si>
    <t>2021 Business Plan</t>
  </si>
  <si>
    <t>Capital - Only LTPC related</t>
  </si>
  <si>
    <t>O&amp;M - Only LTPC related</t>
  </si>
  <si>
    <t>CR07F21</t>
  </si>
  <si>
    <t>Note - The LTPC Calculation reflects the full value of the contract and the end balance only reflects the ownership percentage (LGE 22% KU 78%).</t>
  </si>
  <si>
    <t>Note:   CR7 is a base load unit, therefore, starts are rarely used in calculating the fee.</t>
  </si>
  <si>
    <t>Other costs</t>
  </si>
  <si>
    <t>Material cost</t>
  </si>
  <si>
    <t>Note - These are the amounts for the outage work performed under this contract.</t>
  </si>
  <si>
    <t>Capital work (investing)</t>
  </si>
  <si>
    <t>186074 - Cane Run 7 LTPC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</si>
</sst>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6"/>
      <color theme="1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1" fillId="0" borderId="0" xfId="0" applyFont="1"/>
    <xf numFmtId="0" fontId="22" fillId="0" borderId="0" xfId="0" applyFont="1"/>
    <xf numFmtId="0" fontId="22" fillId="0" borderId="11" xfId="0" applyFont="1" applyBorder="1" applyAlignment="1">
      <alignment horizontal="center"/>
    </xf>
    <xf numFmtId="164" fontId="22" fillId="0" borderId="0" xfId="44" quotePrefix="1" applyNumberFormat="1" applyFont="1" applyAlignment="1">
      <alignment horizontal="left"/>
    </xf>
    <xf numFmtId="164" fontId="22" fillId="0" borderId="0" xfId="44" applyNumberFormat="1" applyFont="1"/>
    <xf numFmtId="6" fontId="22" fillId="0" borderId="0" xfId="0" applyNumberFormat="1" applyFont="1"/>
    <xf numFmtId="164" fontId="22" fillId="0" borderId="0" xfId="0" applyNumberFormat="1" applyFont="1"/>
    <xf numFmtId="0" fontId="22" fillId="0" borderId="0" xfId="0" quotePrefix="1" applyFont="1" applyAlignment="1">
      <alignment horizontal="left"/>
    </xf>
    <xf numFmtId="0" fontId="24" fillId="0" borderId="0" xfId="0" applyFont="1"/>
    <xf numFmtId="0" fontId="22" fillId="0" borderId="20" xfId="0" quotePrefix="1" applyFont="1" applyBorder="1" applyAlignment="1">
      <alignment horizontal="left"/>
    </xf>
    <xf numFmtId="0" fontId="22" fillId="33" borderId="0" xfId="0" applyFont="1" applyFill="1"/>
    <xf numFmtId="0" fontId="22" fillId="0" borderId="0" xfId="0" applyFont="1" applyBorder="1"/>
    <xf numFmtId="9" fontId="25" fillId="0" borderId="0" xfId="0" applyNumberFormat="1" applyFont="1"/>
    <xf numFmtId="0" fontId="25" fillId="0" borderId="0" xfId="0" applyFont="1"/>
    <xf numFmtId="0" fontId="26" fillId="0" borderId="0" xfId="0" applyFont="1"/>
    <xf numFmtId="0" fontId="22" fillId="0" borderId="0" xfId="0" applyFont="1" applyAlignment="1">
      <alignment horizontal="right"/>
    </xf>
    <xf numFmtId="3" fontId="25" fillId="0" borderId="0" xfId="0" applyNumberFormat="1" applyFont="1"/>
    <xf numFmtId="0" fontId="22" fillId="0" borderId="0" xfId="0" quotePrefix="1" applyFont="1" applyBorder="1" applyAlignment="1">
      <alignment horizontal="left"/>
    </xf>
    <xf numFmtId="0" fontId="27" fillId="0" borderId="0" xfId="0" quotePrefix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0" xfId="0" applyFont="1" applyAlignment="1">
      <alignment horizontal="right"/>
    </xf>
    <xf numFmtId="3" fontId="22" fillId="33" borderId="0" xfId="0" applyNumberFormat="1" applyFont="1" applyFill="1"/>
    <xf numFmtId="0" fontId="28" fillId="0" borderId="0" xfId="0" applyFont="1"/>
    <xf numFmtId="0" fontId="22" fillId="0" borderId="14" xfId="0" applyFont="1" applyBorder="1"/>
    <xf numFmtId="0" fontId="22" fillId="0" borderId="15" xfId="0" applyFont="1" applyBorder="1"/>
    <xf numFmtId="0" fontId="22" fillId="0" borderId="16" xfId="0" applyFont="1" applyBorder="1"/>
    <xf numFmtId="3" fontId="22" fillId="33" borderId="0" xfId="0" applyNumberFormat="1" applyFont="1" applyFill="1" applyBorder="1" applyAlignment="1">
      <alignment horizontal="center"/>
    </xf>
    <xf numFmtId="3" fontId="22" fillId="33" borderId="17" xfId="0" applyNumberFormat="1" applyFont="1" applyFill="1" applyBorder="1" applyAlignment="1">
      <alignment horizontal="center"/>
    </xf>
    <xf numFmtId="3" fontId="22" fillId="33" borderId="18" xfId="0" applyNumberFormat="1" applyFont="1" applyFill="1" applyBorder="1" applyAlignment="1">
      <alignment horizontal="center"/>
    </xf>
    <xf numFmtId="3" fontId="22" fillId="0" borderId="0" xfId="0" applyNumberFormat="1" applyFont="1"/>
    <xf numFmtId="164" fontId="27" fillId="0" borderId="0" xfId="44" applyNumberFormat="1" applyFont="1"/>
    <xf numFmtId="164" fontId="29" fillId="0" borderId="0" xfId="44" quotePrefix="1" applyNumberFormat="1" applyFont="1" applyAlignment="1">
      <alignment horizontal="left"/>
    </xf>
    <xf numFmtId="0" fontId="27" fillId="0" borderId="0" xfId="44" applyNumberFormat="1" applyFont="1"/>
    <xf numFmtId="164" fontId="29" fillId="0" borderId="0" xfId="44" applyNumberFormat="1" applyFont="1"/>
    <xf numFmtId="164" fontId="30" fillId="0" borderId="0" xfId="44" applyNumberFormat="1" applyFont="1"/>
    <xf numFmtId="0" fontId="30" fillId="0" borderId="0" xfId="44" applyNumberFormat="1" applyFont="1"/>
    <xf numFmtId="0" fontId="30" fillId="0" borderId="0" xfId="44" applyNumberFormat="1" applyFont="1" applyAlignment="1"/>
    <xf numFmtId="164" fontId="30" fillId="0" borderId="0" xfId="44" applyNumberFormat="1" applyFont="1" applyAlignment="1"/>
    <xf numFmtId="164" fontId="27" fillId="33" borderId="0" xfId="44" applyNumberFormat="1" applyFont="1" applyFill="1"/>
    <xf numFmtId="49" fontId="26" fillId="0" borderId="0" xfId="0" applyNumberFormat="1" applyFont="1"/>
    <xf numFmtId="49" fontId="22" fillId="0" borderId="0" xfId="0" applyNumberFormat="1" applyFont="1"/>
    <xf numFmtId="49" fontId="22" fillId="0" borderId="0" xfId="0" applyNumberFormat="1" applyFont="1" applyFill="1"/>
    <xf numFmtId="6" fontId="22" fillId="0" borderId="0" xfId="0" applyNumberFormat="1" applyFont="1" applyFill="1"/>
    <xf numFmtId="0" fontId="31" fillId="0" borderId="0" xfId="0" applyFont="1" applyAlignment="1">
      <alignment vertical="center"/>
    </xf>
    <xf numFmtId="42" fontId="22" fillId="0" borderId="0" xfId="44" applyNumberFormat="1" applyFont="1" applyFill="1"/>
    <xf numFmtId="42" fontId="22" fillId="0" borderId="0" xfId="44" applyNumberFormat="1" applyFont="1"/>
    <xf numFmtId="42" fontId="22" fillId="0" borderId="0" xfId="0" applyNumberFormat="1" applyFont="1"/>
    <xf numFmtId="42" fontId="23" fillId="0" borderId="0" xfId="0" applyNumberFormat="1" applyFont="1"/>
    <xf numFmtId="42" fontId="22" fillId="34" borderId="20" xfId="0" applyNumberFormat="1" applyFont="1" applyFill="1" applyBorder="1"/>
    <xf numFmtId="42" fontId="22" fillId="0" borderId="20" xfId="0" applyNumberFormat="1" applyFont="1" applyBorder="1"/>
    <xf numFmtId="42" fontId="22" fillId="0" borderId="20" xfId="44" applyNumberFormat="1" applyFont="1" applyFill="1" applyBorder="1"/>
    <xf numFmtId="42" fontId="22" fillId="0" borderId="20" xfId="44" applyNumberFormat="1" applyFont="1" applyBorder="1"/>
    <xf numFmtId="42" fontId="22" fillId="0" borderId="19" xfId="44" applyNumberFormat="1" applyFont="1" applyBorder="1"/>
    <xf numFmtId="0" fontId="22" fillId="35" borderId="0" xfId="0" quotePrefix="1" applyFont="1" applyFill="1" applyAlignment="1">
      <alignment horizontal="left"/>
    </xf>
    <xf numFmtId="6" fontId="22" fillId="35" borderId="0" xfId="0" applyNumberFormat="1" applyFont="1" applyFill="1"/>
    <xf numFmtId="164" fontId="27" fillId="0" borderId="0" xfId="44" applyNumberFormat="1" applyFont="1" applyFill="1"/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2" fillId="0" borderId="0" xfId="0" applyFont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Currency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tabSelected="1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A24" sqref="A24"/>
    </sheetView>
  </sheetViews>
  <sheetFormatPr defaultRowHeight="15" x14ac:dyDescent="0.25"/>
  <cols>
    <col min="1" max="1" width="25.85546875" style="2" customWidth="1"/>
    <col min="2" max="24" width="14.28515625" style="2" bestFit="1" customWidth="1"/>
    <col min="25" max="16384" width="9.140625" style="2"/>
  </cols>
  <sheetData>
    <row r="1" spans="1:24" ht="15.75" thickBot="1" x14ac:dyDescent="0.3">
      <c r="A1" s="1" t="s">
        <v>7</v>
      </c>
    </row>
    <row r="2" spans="1:24" ht="15.75" thickBot="1" x14ac:dyDescent="0.3">
      <c r="A2" s="63" t="s">
        <v>99</v>
      </c>
      <c r="B2" s="58">
        <v>2020</v>
      </c>
      <c r="C2" s="58"/>
      <c r="D2" s="58"/>
      <c r="E2" s="58"/>
      <c r="F2" s="59"/>
      <c r="G2" s="57">
        <v>2021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  <c r="S2" s="57">
        <v>2022</v>
      </c>
      <c r="T2" s="58"/>
      <c r="U2" s="58"/>
      <c r="V2" s="58"/>
      <c r="W2" s="58"/>
      <c r="X2" s="59"/>
    </row>
    <row r="3" spans="1:24" x14ac:dyDescent="0.25"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</row>
    <row r="4" spans="1:24" s="5" customFormat="1" x14ac:dyDescent="0.25">
      <c r="A4" s="4" t="s">
        <v>9</v>
      </c>
      <c r="B4" s="45"/>
      <c r="C4" s="46">
        <f>+B8</f>
        <v>1299676.6299999994</v>
      </c>
      <c r="D4" s="46">
        <f t="shared" ref="D4:W4" si="0">+C8</f>
        <v>1428404.0535195514</v>
      </c>
      <c r="E4" s="46">
        <f t="shared" si="0"/>
        <v>1561570.3537121913</v>
      </c>
      <c r="F4" s="46">
        <f t="shared" si="0"/>
        <v>1690297.7772317433</v>
      </c>
      <c r="G4" s="46">
        <f t="shared" si="0"/>
        <v>1823464.0774243833</v>
      </c>
      <c r="H4" s="46">
        <f t="shared" si="0"/>
        <v>2036588.3231658232</v>
      </c>
      <c r="I4" s="46">
        <f t="shared" si="0"/>
        <v>2156437.9933391991</v>
      </c>
      <c r="J4" s="46">
        <f t="shared" si="0"/>
        <v>2289604.2935318393</v>
      </c>
      <c r="K4" s="46">
        <f t="shared" si="0"/>
        <v>2360626.3203012473</v>
      </c>
      <c r="L4" s="46">
        <f t="shared" si="0"/>
        <v>2458281.6071091834</v>
      </c>
      <c r="M4" s="46">
        <f t="shared" si="0"/>
        <v>2587009.0306287352</v>
      </c>
      <c r="N4" s="46">
        <f t="shared" si="0"/>
        <v>2720175.3308213754</v>
      </c>
      <c r="O4" s="46">
        <f t="shared" si="0"/>
        <v>2853341.6310140155</v>
      </c>
      <c r="P4" s="46">
        <f t="shared" si="0"/>
        <v>2982069.0545335673</v>
      </c>
      <c r="Q4" s="46">
        <f t="shared" si="0"/>
        <v>3115235.3547262074</v>
      </c>
      <c r="R4" s="46">
        <f t="shared" si="0"/>
        <v>3243962.7782457592</v>
      </c>
      <c r="S4" s="46">
        <f t="shared" si="0"/>
        <v>3377129.0784383994</v>
      </c>
      <c r="T4" s="46">
        <f t="shared" si="0"/>
        <v>3592172.3148730104</v>
      </c>
      <c r="U4" s="46">
        <f t="shared" si="0"/>
        <v>3712021.9850463863</v>
      </c>
      <c r="V4" s="46">
        <f t="shared" si="0"/>
        <v>1627550.5151427065</v>
      </c>
      <c r="W4" s="46">
        <f t="shared" si="0"/>
        <v>1756277.9386622584</v>
      </c>
      <c r="X4" s="46">
        <f>+W8</f>
        <v>1889444.2388548984</v>
      </c>
    </row>
    <row r="5" spans="1:24" x14ac:dyDescent="0.25">
      <c r="A5" s="2" t="s">
        <v>8</v>
      </c>
      <c r="B5" s="46"/>
      <c r="C5" s="46">
        <f t="shared" ref="C5:X5" si="1">+C18*0.22</f>
        <v>128727.42351955199</v>
      </c>
      <c r="D5" s="46">
        <f t="shared" si="1"/>
        <v>133166.30019263999</v>
      </c>
      <c r="E5" s="46">
        <f>+E18*0.22</f>
        <v>128727.42351955199</v>
      </c>
      <c r="F5" s="46">
        <f t="shared" si="1"/>
        <v>133166.30019263999</v>
      </c>
      <c r="G5" s="46">
        <f t="shared" si="1"/>
        <v>213124.24574143998</v>
      </c>
      <c r="H5" s="46">
        <f t="shared" si="1"/>
        <v>119849.670173376</v>
      </c>
      <c r="I5" s="46">
        <f t="shared" si="1"/>
        <v>133166.30019263999</v>
      </c>
      <c r="J5" s="46">
        <f t="shared" si="1"/>
        <v>71022.02676940801</v>
      </c>
      <c r="K5" s="46">
        <f t="shared" si="1"/>
        <v>97655.286807936005</v>
      </c>
      <c r="L5" s="46">
        <f t="shared" si="1"/>
        <v>128727.42351955199</v>
      </c>
      <c r="M5" s="46">
        <f t="shared" si="1"/>
        <v>133166.30019263999</v>
      </c>
      <c r="N5" s="46">
        <f t="shared" si="1"/>
        <v>133166.30019263999</v>
      </c>
      <c r="O5" s="46">
        <f t="shared" si="1"/>
        <v>128727.42351955199</v>
      </c>
      <c r="P5" s="46">
        <f t="shared" si="1"/>
        <v>133166.30019263999</v>
      </c>
      <c r="Q5" s="46">
        <f t="shared" si="1"/>
        <v>128727.42351955199</v>
      </c>
      <c r="R5" s="46">
        <f t="shared" si="1"/>
        <v>133166.30019263999</v>
      </c>
      <c r="S5" s="46">
        <f t="shared" si="1"/>
        <v>215043.23643461117</v>
      </c>
      <c r="T5" s="46">
        <f t="shared" si="1"/>
        <v>119849.670173376</v>
      </c>
      <c r="U5" s="46">
        <f t="shared" si="1"/>
        <v>66583.150096319994</v>
      </c>
      <c r="V5" s="46">
        <f t="shared" si="1"/>
        <v>128727.42351955199</v>
      </c>
      <c r="W5" s="46">
        <f>+W18*0.22</f>
        <v>133166.30019263999</v>
      </c>
      <c r="X5" s="46">
        <f t="shared" si="1"/>
        <v>128727.42351955199</v>
      </c>
    </row>
    <row r="6" spans="1:24" x14ac:dyDescent="0.25">
      <c r="A6" s="54" t="s">
        <v>98</v>
      </c>
      <c r="B6" s="47"/>
      <c r="C6" s="47">
        <v>0</v>
      </c>
      <c r="D6" s="47">
        <v>0</v>
      </c>
      <c r="E6" s="47">
        <v>0</v>
      </c>
      <c r="F6" s="47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7">
        <f>-LTPC!E3</f>
        <v>0</v>
      </c>
      <c r="T6" s="47">
        <f>-LTPC!F3</f>
        <v>0</v>
      </c>
      <c r="U6" s="47">
        <f>-LTPC!G3</f>
        <v>-2043501.89</v>
      </c>
      <c r="V6" s="47">
        <f>-LTPC!H3</f>
        <v>0</v>
      </c>
      <c r="W6" s="47">
        <f>-LTPC!I3</f>
        <v>0</v>
      </c>
      <c r="X6" s="47">
        <f>-LTPC!J3</f>
        <v>0</v>
      </c>
    </row>
    <row r="7" spans="1:24" x14ac:dyDescent="0.25">
      <c r="A7" s="54" t="s">
        <v>64</v>
      </c>
      <c r="B7" s="47"/>
      <c r="C7" s="47">
        <f t="shared" ref="C7:X7" si="2">ROUND((C6/0.95)*0.05,2)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7">
        <f t="shared" si="2"/>
        <v>0</v>
      </c>
      <c r="P7" s="47">
        <f t="shared" si="2"/>
        <v>0</v>
      </c>
      <c r="Q7" s="47">
        <f t="shared" si="2"/>
        <v>0</v>
      </c>
      <c r="R7" s="47">
        <f t="shared" si="2"/>
        <v>0</v>
      </c>
      <c r="S7" s="47">
        <f t="shared" si="2"/>
        <v>0</v>
      </c>
      <c r="T7" s="47">
        <f t="shared" si="2"/>
        <v>0</v>
      </c>
      <c r="U7" s="48">
        <f>-LTPC!G8</f>
        <v>-107552.73</v>
      </c>
      <c r="V7" s="47">
        <f t="shared" si="2"/>
        <v>0</v>
      </c>
      <c r="W7" s="47">
        <f t="shared" si="2"/>
        <v>0</v>
      </c>
      <c r="X7" s="47">
        <f t="shared" si="2"/>
        <v>0</v>
      </c>
    </row>
    <row r="8" spans="1:24" ht="15.75" thickBot="1" x14ac:dyDescent="0.3">
      <c r="A8" s="8" t="s">
        <v>10</v>
      </c>
      <c r="B8" s="49">
        <v>1299676.6299999994</v>
      </c>
      <c r="C8" s="50">
        <f t="shared" ref="C8:X8" si="3">SUM(C4:C7)</f>
        <v>1428404.0535195514</v>
      </c>
      <c r="D8" s="50">
        <f t="shared" si="3"/>
        <v>1561570.3537121913</v>
      </c>
      <c r="E8" s="50">
        <f t="shared" si="3"/>
        <v>1690297.7772317433</v>
      </c>
      <c r="F8" s="50">
        <f t="shared" si="3"/>
        <v>1823464.0774243833</v>
      </c>
      <c r="G8" s="50">
        <f t="shared" si="3"/>
        <v>2036588.3231658232</v>
      </c>
      <c r="H8" s="50">
        <f t="shared" si="3"/>
        <v>2156437.9933391991</v>
      </c>
      <c r="I8" s="50">
        <f t="shared" si="3"/>
        <v>2289604.2935318393</v>
      </c>
      <c r="J8" s="50">
        <f t="shared" si="3"/>
        <v>2360626.3203012473</v>
      </c>
      <c r="K8" s="50">
        <f t="shared" si="3"/>
        <v>2458281.6071091834</v>
      </c>
      <c r="L8" s="50">
        <f t="shared" si="3"/>
        <v>2587009.0306287352</v>
      </c>
      <c r="M8" s="50">
        <f t="shared" si="3"/>
        <v>2720175.3308213754</v>
      </c>
      <c r="N8" s="50">
        <f t="shared" si="3"/>
        <v>2853341.6310140155</v>
      </c>
      <c r="O8" s="50">
        <f t="shared" si="3"/>
        <v>2982069.0545335673</v>
      </c>
      <c r="P8" s="50">
        <f t="shared" si="3"/>
        <v>3115235.3547262074</v>
      </c>
      <c r="Q8" s="50">
        <f t="shared" si="3"/>
        <v>3243962.7782457592</v>
      </c>
      <c r="R8" s="50">
        <f t="shared" si="3"/>
        <v>3377129.0784383994</v>
      </c>
      <c r="S8" s="50">
        <f t="shared" si="3"/>
        <v>3592172.3148730104</v>
      </c>
      <c r="T8" s="50">
        <f t="shared" si="3"/>
        <v>3712021.9850463863</v>
      </c>
      <c r="U8" s="50">
        <f t="shared" si="3"/>
        <v>1627550.5151427065</v>
      </c>
      <c r="V8" s="50">
        <f t="shared" si="3"/>
        <v>1756277.9386622584</v>
      </c>
      <c r="W8" s="50">
        <f t="shared" si="3"/>
        <v>1889444.2388548984</v>
      </c>
      <c r="X8" s="50">
        <f t="shared" si="3"/>
        <v>2018171.6623744504</v>
      </c>
    </row>
    <row r="9" spans="1:24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x14ac:dyDescent="0.25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4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x14ac:dyDescent="0.25">
      <c r="A12" s="9" t="s">
        <v>85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ht="15.75" thickBot="1" x14ac:dyDescent="0.3">
      <c r="A13" s="10" t="s">
        <v>58</v>
      </c>
      <c r="B13" s="51"/>
      <c r="C13" s="52">
        <f>+'operating hours'!C4*Fees!$B$8</f>
        <v>561216.81599999999</v>
      </c>
      <c r="D13" s="52">
        <f>+'operating hours'!D4*Fees!$B$8</f>
        <v>580569.12</v>
      </c>
      <c r="E13" s="52">
        <f>+'operating hours'!E4*Fees!$B$8</f>
        <v>561216.81599999999</v>
      </c>
      <c r="F13" s="52">
        <f>+'operating hours'!F4*Fees!$B$8</f>
        <v>580569.12</v>
      </c>
      <c r="G13" s="52">
        <f>+'operating hours'!G4*Fees!$B$8</f>
        <v>580569.12</v>
      </c>
      <c r="H13" s="52">
        <f>+'operating hours'!H4*Fees!$B$8</f>
        <v>522512.20799999998</v>
      </c>
      <c r="I13" s="52">
        <f>+'operating hours'!I4*Fees!$B$8</f>
        <v>580569.12</v>
      </c>
      <c r="J13" s="52">
        <f>+'operating hours'!J4*Fees!$B$8</f>
        <v>309636.864</v>
      </c>
      <c r="K13" s="52">
        <f>+'operating hours'!K4*Fees!$B$8</f>
        <v>425750.68800000002</v>
      </c>
      <c r="L13" s="52">
        <f>+'operating hours'!L4*Fees!$B$8</f>
        <v>561216.81599999999</v>
      </c>
      <c r="M13" s="52">
        <f>+'operating hours'!M4*Fees!$B$8</f>
        <v>580569.12</v>
      </c>
      <c r="N13" s="52">
        <f>+'operating hours'!N4*Fees!$B$8</f>
        <v>580569.12</v>
      </c>
      <c r="O13" s="52">
        <f>+'operating hours'!O4*Fees!$B$8</f>
        <v>561216.81599999999</v>
      </c>
      <c r="P13" s="52">
        <f>+'operating hours'!P4*Fees!$B$8</f>
        <v>580569.12</v>
      </c>
      <c r="Q13" s="52">
        <f>+'operating hours'!Q4*Fees!$B$8</f>
        <v>561216.81599999999</v>
      </c>
      <c r="R13" s="52">
        <f>+'operating hours'!R4*Fees!$B$8</f>
        <v>580569.12</v>
      </c>
      <c r="S13" s="52">
        <f>+'operating hours'!S4*Fees!$B$8</f>
        <v>580569.12</v>
      </c>
      <c r="T13" s="52">
        <f>+'operating hours'!T4*Fees!$B$8</f>
        <v>522512.20799999998</v>
      </c>
      <c r="U13" s="52">
        <f>+'operating hours'!U4*Fees!$B$8</f>
        <v>290284.56</v>
      </c>
      <c r="V13" s="52">
        <f>+'operating hours'!V4*Fees!$B$8</f>
        <v>561216.81599999999</v>
      </c>
      <c r="W13" s="52">
        <f>+'operating hours'!W4*Fees!$B$8</f>
        <v>580569.12</v>
      </c>
      <c r="X13" s="52">
        <f>+'operating hours'!X4*Fees!$B$8</f>
        <v>561216.81599999999</v>
      </c>
    </row>
    <row r="14" spans="1:24" x14ac:dyDescent="0.25">
      <c r="A14" s="8" t="s">
        <v>62</v>
      </c>
      <c r="B14" s="46"/>
      <c r="C14" s="46"/>
      <c r="D14" s="46"/>
      <c r="E14" s="46"/>
      <c r="F14" s="46"/>
      <c r="G14" s="46">
        <f>Fees!B11*Fees!$B$12</f>
        <v>363445.20703999995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>
        <f>+G14*Fees!$B$12</f>
        <v>372167.89200895996</v>
      </c>
      <c r="T14" s="46"/>
      <c r="U14" s="46"/>
      <c r="V14" s="46"/>
      <c r="W14" s="46"/>
      <c r="X14" s="46"/>
    </row>
    <row r="15" spans="1:24" x14ac:dyDescent="0.25">
      <c r="A15" s="2" t="s">
        <v>59</v>
      </c>
      <c r="B15" s="46"/>
      <c r="C15" s="46">
        <f>+C13*Fees!$B$4</f>
        <v>398463.93935999996</v>
      </c>
      <c r="D15" s="46">
        <f>+D13*Fees!$B$4</f>
        <v>412204.07519999996</v>
      </c>
      <c r="E15" s="46">
        <f>+E13*Fees!$B$4</f>
        <v>398463.93935999996</v>
      </c>
      <c r="F15" s="46">
        <f>+F13*Fees!$B$4</f>
        <v>412204.07519999996</v>
      </c>
      <c r="G15" s="46">
        <f>+G13*Fees!$B$4</f>
        <v>412204.07519999996</v>
      </c>
      <c r="H15" s="46">
        <f>+H13*Fees!$B$4</f>
        <v>370983.66767999995</v>
      </c>
      <c r="I15" s="46">
        <f>+I13*Fees!$B$4</f>
        <v>412204.07519999996</v>
      </c>
      <c r="J15" s="46">
        <f>+J13*Fees!$B$4</f>
        <v>219842.17343999998</v>
      </c>
      <c r="K15" s="46">
        <f>+K13*Fees!$B$4</f>
        <v>302282.98848</v>
      </c>
      <c r="L15" s="46">
        <f>+L13*Fees!$B$4</f>
        <v>398463.93935999996</v>
      </c>
      <c r="M15" s="46">
        <f>+M13*Fees!$B$4</f>
        <v>412204.07519999996</v>
      </c>
      <c r="N15" s="46">
        <f>+N13*Fees!$B$4</f>
        <v>412204.07519999996</v>
      </c>
      <c r="O15" s="46">
        <f>+O13*Fees!$B$4</f>
        <v>398463.93935999996</v>
      </c>
      <c r="P15" s="46">
        <f>+P13*Fees!$B$4</f>
        <v>412204.07519999996</v>
      </c>
      <c r="Q15" s="46">
        <f>+Q13*Fees!$B$4</f>
        <v>398463.93935999996</v>
      </c>
      <c r="R15" s="46">
        <f>+R13*Fees!$B$4</f>
        <v>412204.07519999996</v>
      </c>
      <c r="S15" s="46">
        <f>+S13*Fees!$B$4</f>
        <v>412204.07519999996</v>
      </c>
      <c r="T15" s="46">
        <f>+T13*Fees!$B$4</f>
        <v>370983.66767999995</v>
      </c>
      <c r="U15" s="46">
        <f>+U13*Fees!$B$4</f>
        <v>206102.03759999998</v>
      </c>
      <c r="V15" s="46">
        <f>+V13*Fees!$B$4</f>
        <v>398463.93935999996</v>
      </c>
      <c r="W15" s="46">
        <f>+W13*Fees!$B$4</f>
        <v>412204.07519999996</v>
      </c>
      <c r="X15" s="46">
        <f>+X13*Fees!$B$4</f>
        <v>398463.93935999996</v>
      </c>
    </row>
    <row r="16" spans="1:24" x14ac:dyDescent="0.25">
      <c r="A16" s="2" t="s">
        <v>60</v>
      </c>
      <c r="B16" s="46"/>
      <c r="C16" s="46">
        <f t="shared" ref="C16:X16" si="4">+C15*0.06</f>
        <v>23907.836361599995</v>
      </c>
      <c r="D16" s="46">
        <f t="shared" si="4"/>
        <v>24732.244511999997</v>
      </c>
      <c r="E16" s="46">
        <f t="shared" si="4"/>
        <v>23907.836361599995</v>
      </c>
      <c r="F16" s="46">
        <f t="shared" si="4"/>
        <v>24732.244511999997</v>
      </c>
      <c r="G16" s="46">
        <f t="shared" si="4"/>
        <v>24732.244511999997</v>
      </c>
      <c r="H16" s="46">
        <f t="shared" si="4"/>
        <v>22259.020060799998</v>
      </c>
      <c r="I16" s="46">
        <f t="shared" si="4"/>
        <v>24732.244511999997</v>
      </c>
      <c r="J16" s="46">
        <f t="shared" si="4"/>
        <v>13190.530406399999</v>
      </c>
      <c r="K16" s="46">
        <f t="shared" si="4"/>
        <v>18136.979308800001</v>
      </c>
      <c r="L16" s="46">
        <f t="shared" si="4"/>
        <v>23907.836361599995</v>
      </c>
      <c r="M16" s="46">
        <f t="shared" si="4"/>
        <v>24732.244511999997</v>
      </c>
      <c r="N16" s="46">
        <f t="shared" si="4"/>
        <v>24732.244511999997</v>
      </c>
      <c r="O16" s="46">
        <f t="shared" si="4"/>
        <v>23907.836361599995</v>
      </c>
      <c r="P16" s="46">
        <f t="shared" si="4"/>
        <v>24732.244511999997</v>
      </c>
      <c r="Q16" s="46">
        <f t="shared" si="4"/>
        <v>23907.836361599995</v>
      </c>
      <c r="R16" s="46">
        <f t="shared" si="4"/>
        <v>24732.244511999997</v>
      </c>
      <c r="S16" s="46">
        <f t="shared" si="4"/>
        <v>24732.244511999997</v>
      </c>
      <c r="T16" s="46">
        <f t="shared" si="4"/>
        <v>22259.020060799998</v>
      </c>
      <c r="U16" s="46">
        <f t="shared" si="4"/>
        <v>12366.122255999999</v>
      </c>
      <c r="V16" s="46">
        <f t="shared" si="4"/>
        <v>23907.836361599995</v>
      </c>
      <c r="W16" s="46">
        <f t="shared" si="4"/>
        <v>24732.244511999997</v>
      </c>
      <c r="X16" s="46">
        <f t="shared" si="4"/>
        <v>23907.836361599995</v>
      </c>
    </row>
    <row r="17" spans="1:24" x14ac:dyDescent="0.25">
      <c r="A17" s="2" t="s">
        <v>61</v>
      </c>
      <c r="B17" s="53"/>
      <c r="C17" s="53">
        <f>+C13*Fees!$B$5</f>
        <v>162752.87664000003</v>
      </c>
      <c r="D17" s="53">
        <f>+D13*Fees!$B$5</f>
        <v>168365.04480000003</v>
      </c>
      <c r="E17" s="53">
        <f>+E13*Fees!$B$5</f>
        <v>162752.87664000003</v>
      </c>
      <c r="F17" s="53">
        <f>+F13*Fees!$B$5</f>
        <v>168365.04480000003</v>
      </c>
      <c r="G17" s="53">
        <f>+G13*Fees!$B$5</f>
        <v>168365.04480000003</v>
      </c>
      <c r="H17" s="53">
        <f>+H13*Fees!$B$5</f>
        <v>151528.54032</v>
      </c>
      <c r="I17" s="53">
        <f>+I13*Fees!$B$5</f>
        <v>168365.04480000003</v>
      </c>
      <c r="J17" s="53">
        <f>+J13*Fees!$B$5</f>
        <v>89794.690560000017</v>
      </c>
      <c r="K17" s="53">
        <f>+K13*Fees!$B$5</f>
        <v>123467.69952000002</v>
      </c>
      <c r="L17" s="53">
        <f>+L13*Fees!$B$5</f>
        <v>162752.87664000003</v>
      </c>
      <c r="M17" s="53">
        <f>+M13*Fees!$B$5</f>
        <v>168365.04480000003</v>
      </c>
      <c r="N17" s="53">
        <f>+N13*Fees!$B$5</f>
        <v>168365.04480000003</v>
      </c>
      <c r="O17" s="53">
        <f>+O13*Fees!$B$5</f>
        <v>162752.87664000003</v>
      </c>
      <c r="P17" s="53">
        <f>+P13*Fees!$B$5</f>
        <v>168365.04480000003</v>
      </c>
      <c r="Q17" s="53">
        <f>+Q13*Fees!$B$5</f>
        <v>162752.87664000003</v>
      </c>
      <c r="R17" s="53">
        <f>+R13*Fees!$B$5</f>
        <v>168365.04480000003</v>
      </c>
      <c r="S17" s="53">
        <f>+S13*Fees!$B$5</f>
        <v>168365.04480000003</v>
      </c>
      <c r="T17" s="53">
        <f>+T13*Fees!$B$5</f>
        <v>151528.54032</v>
      </c>
      <c r="U17" s="53">
        <f>+U13*Fees!$B$5</f>
        <v>84182.522400000016</v>
      </c>
      <c r="V17" s="53">
        <f>+V13*Fees!$B$5</f>
        <v>162752.87664000003</v>
      </c>
      <c r="W17" s="53">
        <f>+W13*Fees!$B$5</f>
        <v>168365.04480000003</v>
      </c>
      <c r="X17" s="53">
        <f>+X13*Fees!$B$5</f>
        <v>162752.87664000003</v>
      </c>
    </row>
    <row r="18" spans="1:24" x14ac:dyDescent="0.25">
      <c r="B18" s="47"/>
      <c r="C18" s="47">
        <f t="shared" ref="C18:X18" si="5">SUM(C14:C17)</f>
        <v>585124.65236159996</v>
      </c>
      <c r="D18" s="47">
        <f t="shared" si="5"/>
        <v>605301.364512</v>
      </c>
      <c r="E18" s="47">
        <f t="shared" si="5"/>
        <v>585124.65236159996</v>
      </c>
      <c r="F18" s="47">
        <f t="shared" si="5"/>
        <v>605301.364512</v>
      </c>
      <c r="G18" s="47">
        <f t="shared" si="5"/>
        <v>968746.57155199989</v>
      </c>
      <c r="H18" s="47">
        <f t="shared" si="5"/>
        <v>544771.2280608</v>
      </c>
      <c r="I18" s="47">
        <f t="shared" si="5"/>
        <v>605301.364512</v>
      </c>
      <c r="J18" s="47">
        <f t="shared" si="5"/>
        <v>322827.39440640004</v>
      </c>
      <c r="K18" s="47">
        <f t="shared" si="5"/>
        <v>443887.66730880004</v>
      </c>
      <c r="L18" s="47">
        <f t="shared" si="5"/>
        <v>585124.65236159996</v>
      </c>
      <c r="M18" s="47">
        <f t="shared" si="5"/>
        <v>605301.364512</v>
      </c>
      <c r="N18" s="47">
        <f t="shared" si="5"/>
        <v>605301.364512</v>
      </c>
      <c r="O18" s="47">
        <f t="shared" si="5"/>
        <v>585124.65236159996</v>
      </c>
      <c r="P18" s="47">
        <f t="shared" si="5"/>
        <v>605301.364512</v>
      </c>
      <c r="Q18" s="47">
        <f t="shared" si="5"/>
        <v>585124.65236159996</v>
      </c>
      <c r="R18" s="47">
        <f t="shared" si="5"/>
        <v>605301.364512</v>
      </c>
      <c r="S18" s="47">
        <f t="shared" si="5"/>
        <v>977469.2565209599</v>
      </c>
      <c r="T18" s="47">
        <f t="shared" si="5"/>
        <v>544771.2280608</v>
      </c>
      <c r="U18" s="47">
        <f t="shared" si="5"/>
        <v>302650.682256</v>
      </c>
      <c r="V18" s="47">
        <f t="shared" si="5"/>
        <v>585124.65236159996</v>
      </c>
      <c r="W18" s="47">
        <f t="shared" si="5"/>
        <v>605301.364512</v>
      </c>
      <c r="X18" s="47">
        <f t="shared" si="5"/>
        <v>585124.65236159996</v>
      </c>
    </row>
    <row r="21" spans="1:24" x14ac:dyDescent="0.25">
      <c r="A21" s="44" t="s">
        <v>93</v>
      </c>
    </row>
  </sheetData>
  <mergeCells count="3">
    <mergeCell ref="S2:X2"/>
    <mergeCell ref="B2:F2"/>
    <mergeCell ref="G2:R2"/>
  </mergeCells>
  <pageMargins left="0.7" right="0.7" top="0.75" bottom="1" header="0.5" footer="0.5"/>
  <pageSetup fitToWidth="10" orientation="landscape" r:id="rId1"/>
  <headerFooter>
    <oddFooter xml:space="preserve">&amp;R&amp;"Times New Roman,Bold"&amp;12Case No. 2020-00350
Attachment 2 to Response to AG-KIUC-2 Question No. 22(e)
&amp;P of &amp;N
Garrett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"/>
  <sheetViews>
    <sheetView workbookViewId="0">
      <selection activeCell="A10" sqref="A10"/>
    </sheetView>
  </sheetViews>
  <sheetFormatPr defaultRowHeight="15" x14ac:dyDescent="0.25"/>
  <cols>
    <col min="1" max="1" width="9.7109375" style="2" bestFit="1" customWidth="1"/>
    <col min="2" max="2" width="12.85546875" style="2" bestFit="1" customWidth="1"/>
    <col min="3" max="3" width="21" style="2" bestFit="1" customWidth="1"/>
    <col min="4" max="4" width="5.42578125" style="2" bestFit="1" customWidth="1"/>
    <col min="5" max="5" width="14.140625" style="2" bestFit="1" customWidth="1"/>
    <col min="6" max="6" width="14.42578125" style="2" bestFit="1" customWidth="1"/>
    <col min="7" max="7" width="14.85546875" style="2" bestFit="1" customWidth="1"/>
    <col min="8" max="8" width="14.42578125" style="2" bestFit="1" customWidth="1"/>
    <col min="9" max="9" width="15" style="2" bestFit="1" customWidth="1"/>
    <col min="10" max="10" width="14.28515625" style="2" bestFit="1" customWidth="1"/>
    <col min="11" max="11" width="13.7109375" style="2" bestFit="1" customWidth="1"/>
    <col min="12" max="12" width="14.7109375" style="2" bestFit="1" customWidth="1"/>
    <col min="13" max="14" width="14.28515625" style="2" bestFit="1" customWidth="1"/>
    <col min="15" max="15" width="14.7109375" style="2" bestFit="1" customWidth="1"/>
    <col min="16" max="16" width="14.5703125" style="2" bestFit="1" customWidth="1"/>
    <col min="17" max="17" width="12.140625" style="2" bestFit="1" customWidth="1"/>
    <col min="18" max="16384" width="9.140625" style="2"/>
  </cols>
  <sheetData>
    <row r="1" spans="1:17" x14ac:dyDescent="0.25">
      <c r="A1" s="15" t="s">
        <v>90</v>
      </c>
    </row>
    <row r="2" spans="1:17" x14ac:dyDescent="0.25">
      <c r="A2" s="40" t="s">
        <v>67</v>
      </c>
      <c r="B2" s="40" t="s">
        <v>65</v>
      </c>
      <c r="C2" s="40" t="s">
        <v>66</v>
      </c>
      <c r="D2" s="15" t="s">
        <v>26</v>
      </c>
      <c r="E2" s="15" t="s">
        <v>68</v>
      </c>
      <c r="F2" s="15" t="s">
        <v>69</v>
      </c>
      <c r="G2" s="15" t="s">
        <v>70</v>
      </c>
      <c r="H2" s="15" t="s">
        <v>71</v>
      </c>
      <c r="I2" s="15" t="s">
        <v>72</v>
      </c>
      <c r="J2" s="15" t="s">
        <v>73</v>
      </c>
      <c r="K2" s="15" t="s">
        <v>74</v>
      </c>
      <c r="L2" s="15" t="s">
        <v>75</v>
      </c>
      <c r="M2" s="15" t="s">
        <v>76</v>
      </c>
      <c r="N2" s="15" t="s">
        <v>77</v>
      </c>
      <c r="O2" s="15" t="s">
        <v>78</v>
      </c>
      <c r="P2" s="15" t="s">
        <v>79</v>
      </c>
      <c r="Q2" s="15" t="s">
        <v>80</v>
      </c>
    </row>
    <row r="3" spans="1:17" x14ac:dyDescent="0.25">
      <c r="A3" s="41" t="s">
        <v>81</v>
      </c>
      <c r="B3" s="42" t="s">
        <v>82</v>
      </c>
      <c r="C3" s="41" t="s">
        <v>83</v>
      </c>
      <c r="D3" s="2">
        <v>2022</v>
      </c>
      <c r="E3" s="6">
        <v>0</v>
      </c>
      <c r="F3" s="6">
        <v>0</v>
      </c>
      <c r="G3" s="55">
        <v>2043501.89</v>
      </c>
      <c r="H3" s="43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f>SUM(E3:P3)</f>
        <v>2043501.89</v>
      </c>
    </row>
    <row r="6" spans="1:17" x14ac:dyDescent="0.25">
      <c r="A6" s="15" t="s">
        <v>91</v>
      </c>
    </row>
    <row r="7" spans="1:17" x14ac:dyDescent="0.25">
      <c r="A7" s="40" t="s">
        <v>67</v>
      </c>
      <c r="B7" s="40" t="s">
        <v>65</v>
      </c>
      <c r="C7" s="40" t="s">
        <v>66</v>
      </c>
      <c r="D7" s="15" t="s">
        <v>26</v>
      </c>
      <c r="E7" s="15" t="s">
        <v>68</v>
      </c>
      <c r="F7" s="15" t="s">
        <v>69</v>
      </c>
      <c r="G7" s="15" t="s">
        <v>70</v>
      </c>
      <c r="H7" s="15" t="s">
        <v>71</v>
      </c>
      <c r="I7" s="15" t="s">
        <v>72</v>
      </c>
      <c r="J7" s="15" t="s">
        <v>73</v>
      </c>
      <c r="K7" s="15" t="s">
        <v>74</v>
      </c>
      <c r="L7" s="15" t="s">
        <v>75</v>
      </c>
      <c r="M7" s="15" t="s">
        <v>76</v>
      </c>
      <c r="N7" s="15" t="s">
        <v>77</v>
      </c>
      <c r="O7" s="15" t="s">
        <v>78</v>
      </c>
      <c r="P7" s="15" t="s">
        <v>79</v>
      </c>
      <c r="Q7" s="15" t="s">
        <v>80</v>
      </c>
    </row>
    <row r="8" spans="1:17" x14ac:dyDescent="0.25">
      <c r="A8" s="41" t="s">
        <v>81</v>
      </c>
      <c r="B8" s="42" t="s">
        <v>92</v>
      </c>
      <c r="C8" s="42" t="s">
        <v>92</v>
      </c>
      <c r="D8" s="2">
        <v>2022</v>
      </c>
      <c r="E8" s="6">
        <v>0</v>
      </c>
      <c r="F8" s="6">
        <v>0</v>
      </c>
      <c r="G8" s="55">
        <v>107552.73</v>
      </c>
      <c r="H8" s="43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f>SUM(E8:P8)</f>
        <v>107552.73</v>
      </c>
    </row>
    <row r="9" spans="1:17" x14ac:dyDescent="0.25">
      <c r="A9" s="41"/>
      <c r="B9" s="41"/>
      <c r="C9" s="41"/>
      <c r="E9" s="6"/>
      <c r="F9" s="6"/>
      <c r="G9" s="43"/>
      <c r="H9" s="43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2" t="s">
        <v>97</v>
      </c>
    </row>
  </sheetData>
  <sortState xmlns:xlrd2="http://schemas.microsoft.com/office/spreadsheetml/2017/richdata2" ref="A3:Q3">
    <sortCondition ref="A3"/>
    <sortCondition ref="D3"/>
  </sortState>
  <pageMargins left="0.7" right="0.7" top="0.75" bottom="1" header="0.5" footer="0.5"/>
  <pageSetup scale="52" orientation="landscape" verticalDpi="90" r:id="rId1"/>
  <headerFooter>
    <oddFooter xml:space="preserve">&amp;R&amp;"Times New Roman,Bold"&amp;12Case No. 2020-00350
Attachment 2 to Response to AG-KIUC-2 Question No. 22(e)
&amp;P of &amp;N
Garrett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"/>
  <sheetViews>
    <sheetView workbookViewId="0">
      <selection activeCell="A2" sqref="A2"/>
    </sheetView>
  </sheetViews>
  <sheetFormatPr defaultRowHeight="15" x14ac:dyDescent="0.25"/>
  <cols>
    <col min="1" max="1" width="18.42578125" style="31" bestFit="1" customWidth="1"/>
    <col min="2" max="2" width="15.140625" style="31" bestFit="1" customWidth="1"/>
    <col min="3" max="3" width="4.85546875" style="33" bestFit="1" customWidth="1"/>
    <col min="4" max="15" width="4.28515625" style="31" bestFit="1" customWidth="1"/>
    <col min="16" max="16384" width="9.140625" style="2"/>
  </cols>
  <sheetData>
    <row r="1" spans="1:20" x14ac:dyDescent="0.25">
      <c r="A1" s="32"/>
    </row>
    <row r="2" spans="1:20" x14ac:dyDescent="0.25">
      <c r="A2" s="34" t="s">
        <v>23</v>
      </c>
    </row>
    <row r="3" spans="1:20" x14ac:dyDescent="0.25">
      <c r="A3" s="34"/>
    </row>
    <row r="5" spans="1:20" ht="16.5" x14ac:dyDescent="0.35">
      <c r="A5" s="35" t="s">
        <v>24</v>
      </c>
      <c r="B5" s="35" t="s">
        <v>25</v>
      </c>
      <c r="C5" s="36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8" t="s">
        <v>31</v>
      </c>
      <c r="I5" s="38" t="s">
        <v>32</v>
      </c>
      <c r="J5" s="38" t="s">
        <v>33</v>
      </c>
      <c r="K5" s="38" t="s">
        <v>34</v>
      </c>
      <c r="L5" s="38" t="s">
        <v>35</v>
      </c>
      <c r="M5" s="38" t="s">
        <v>36</v>
      </c>
      <c r="N5" s="38" t="s">
        <v>37</v>
      </c>
      <c r="O5" s="38" t="s">
        <v>38</v>
      </c>
      <c r="Q5" s="38" t="s">
        <v>53</v>
      </c>
      <c r="R5" s="38" t="s">
        <v>54</v>
      </c>
      <c r="S5" s="38" t="s">
        <v>55</v>
      </c>
      <c r="T5" s="38" t="s">
        <v>56</v>
      </c>
    </row>
    <row r="6" spans="1:20" x14ac:dyDescent="0.25">
      <c r="A6" s="31" t="s">
        <v>4</v>
      </c>
      <c r="B6" s="31" t="s">
        <v>39</v>
      </c>
      <c r="C6" s="33">
        <v>2018</v>
      </c>
      <c r="Q6" s="7">
        <f>SUM(D6:F6)</f>
        <v>0</v>
      </c>
      <c r="R6" s="7">
        <f>SUM(G6:I6)</f>
        <v>0</v>
      </c>
      <c r="S6" s="7">
        <f>SUM(J6:L6)</f>
        <v>0</v>
      </c>
      <c r="T6" s="7">
        <f>SUM(M6:O6)</f>
        <v>0</v>
      </c>
    </row>
    <row r="7" spans="1:20" x14ac:dyDescent="0.25">
      <c r="A7" s="31" t="s">
        <v>4</v>
      </c>
      <c r="B7" s="31" t="s">
        <v>39</v>
      </c>
      <c r="C7" s="33">
        <f>+C6+1</f>
        <v>2019</v>
      </c>
      <c r="Q7" s="7">
        <f t="shared" ref="Q7:Q10" si="0">SUM(D7:F7)</f>
        <v>0</v>
      </c>
      <c r="R7" s="7">
        <f t="shared" ref="R7:R10" si="1">SUM(G7:I7)</f>
        <v>0</v>
      </c>
      <c r="S7" s="7">
        <f t="shared" ref="S7:S10" si="2">SUM(J7:L7)</f>
        <v>0</v>
      </c>
      <c r="T7" s="7">
        <f t="shared" ref="T7:T10" si="3">SUM(M7:O7)</f>
        <v>0</v>
      </c>
    </row>
    <row r="8" spans="1:20" x14ac:dyDescent="0.25">
      <c r="A8" s="31" t="s">
        <v>4</v>
      </c>
      <c r="B8" s="31" t="s">
        <v>39</v>
      </c>
      <c r="C8" s="33">
        <f t="shared" ref="C8:C10" si="4">+C7+1</f>
        <v>2020</v>
      </c>
      <c r="K8" s="39">
        <v>1</v>
      </c>
      <c r="L8" s="39">
        <v>1</v>
      </c>
      <c r="M8" s="39">
        <v>1</v>
      </c>
      <c r="N8" s="39">
        <v>1</v>
      </c>
      <c r="O8" s="39">
        <v>1</v>
      </c>
      <c r="Q8" s="7">
        <f t="shared" si="0"/>
        <v>0</v>
      </c>
      <c r="R8" s="7">
        <f t="shared" si="1"/>
        <v>0</v>
      </c>
      <c r="S8" s="7">
        <f t="shared" si="2"/>
        <v>2</v>
      </c>
      <c r="T8" s="7">
        <f t="shared" si="3"/>
        <v>3</v>
      </c>
    </row>
    <row r="9" spans="1:20" x14ac:dyDescent="0.25">
      <c r="A9" s="31" t="s">
        <v>4</v>
      </c>
      <c r="B9" s="31" t="s">
        <v>39</v>
      </c>
      <c r="C9" s="33">
        <f t="shared" si="4"/>
        <v>2021</v>
      </c>
      <c r="D9" s="39">
        <v>1</v>
      </c>
      <c r="E9" s="39">
        <v>1</v>
      </c>
      <c r="F9" s="39">
        <v>1</v>
      </c>
      <c r="G9" s="39">
        <v>1</v>
      </c>
      <c r="H9" s="39">
        <v>1</v>
      </c>
      <c r="I9" s="39">
        <v>1</v>
      </c>
      <c r="J9" s="39">
        <v>1</v>
      </c>
      <c r="K9" s="39">
        <v>1</v>
      </c>
      <c r="L9" s="39">
        <v>1</v>
      </c>
      <c r="M9" s="39">
        <v>1</v>
      </c>
      <c r="N9" s="39">
        <v>1</v>
      </c>
      <c r="O9" s="39">
        <v>1</v>
      </c>
      <c r="Q9" s="7">
        <f t="shared" si="0"/>
        <v>3</v>
      </c>
      <c r="R9" s="7">
        <f t="shared" si="1"/>
        <v>3</v>
      </c>
      <c r="S9" s="7">
        <f t="shared" si="2"/>
        <v>3</v>
      </c>
      <c r="T9" s="7">
        <f t="shared" si="3"/>
        <v>3</v>
      </c>
    </row>
    <row r="10" spans="1:20" x14ac:dyDescent="0.25">
      <c r="A10" s="31" t="s">
        <v>4</v>
      </c>
      <c r="B10" s="31" t="s">
        <v>39</v>
      </c>
      <c r="C10" s="33">
        <f t="shared" si="4"/>
        <v>2022</v>
      </c>
      <c r="D10" s="39">
        <v>1</v>
      </c>
      <c r="E10" s="39">
        <v>1</v>
      </c>
      <c r="F10" s="39">
        <v>1</v>
      </c>
      <c r="G10" s="39">
        <v>1</v>
      </c>
      <c r="H10" s="39">
        <v>1</v>
      </c>
      <c r="I10" s="39">
        <v>1</v>
      </c>
      <c r="J10" s="56"/>
      <c r="Q10" s="7">
        <f t="shared" si="0"/>
        <v>3</v>
      </c>
      <c r="R10" s="7">
        <f t="shared" si="1"/>
        <v>3</v>
      </c>
      <c r="S10" s="7">
        <f t="shared" si="2"/>
        <v>0</v>
      </c>
      <c r="T10" s="7">
        <f t="shared" si="3"/>
        <v>0</v>
      </c>
    </row>
  </sheetData>
  <pageMargins left="0.7" right="0.7" top="0.75" bottom="1" header="0.5" footer="0.5"/>
  <pageSetup scale="90" orientation="landscape" verticalDpi="90" r:id="rId1"/>
  <headerFooter>
    <oddFooter xml:space="preserve">&amp;R&amp;"Times New Roman,Bold"&amp;12Case No. 2020-00350
Attachment 2 to Response to AG-KIUC-2 Question No. 22(e)
&amp;P of &amp;N
Garrett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1"/>
  <sheetViews>
    <sheetView workbookViewId="0">
      <pane xSplit="1" ySplit="3" topLeftCell="B4" activePane="bottomRight" state="frozen"/>
      <selection activeCell="S9" sqref="S9"/>
      <selection pane="topRight" activeCell="S9" sqref="S9"/>
      <selection pane="bottomLeft" activeCell="S9" sqref="S9"/>
      <selection pane="bottomRight"/>
    </sheetView>
  </sheetViews>
  <sheetFormatPr defaultRowHeight="15" x14ac:dyDescent="0.25"/>
  <cols>
    <col min="1" max="1" width="34.140625" style="2" bestFit="1" customWidth="1"/>
    <col min="2" max="2" width="7" style="2" bestFit="1" customWidth="1"/>
    <col min="3" max="3" width="10" style="2" bestFit="1" customWidth="1"/>
    <col min="4" max="4" width="7.85546875" style="2" bestFit="1" customWidth="1"/>
    <col min="5" max="6" width="9.85546875" style="2" bestFit="1" customWidth="1"/>
    <col min="7" max="7" width="7.5703125" style="2" bestFit="1" customWidth="1"/>
    <col min="8" max="8" width="8.5703125" style="2" bestFit="1" customWidth="1"/>
    <col min="9" max="9" width="6.5703125" style="2" bestFit="1" customWidth="1"/>
    <col min="10" max="10" width="5.140625" style="2" bestFit="1" customWidth="1"/>
    <col min="11" max="11" width="4.85546875" style="2" bestFit="1" customWidth="1"/>
    <col min="12" max="12" width="5.7109375" style="2" bestFit="1" customWidth="1"/>
    <col min="13" max="13" width="4.42578125" style="2" bestFit="1" customWidth="1"/>
    <col min="14" max="14" width="7" style="2" bestFit="1" customWidth="1"/>
    <col min="15" max="15" width="10" style="2" bestFit="1" customWidth="1"/>
    <col min="16" max="16" width="7.85546875" style="2" bestFit="1" customWidth="1"/>
    <col min="17" max="18" width="9.85546875" style="2" bestFit="1" customWidth="1"/>
    <col min="19" max="19" width="7.5703125" style="2" bestFit="1" customWidth="1"/>
    <col min="20" max="20" width="8.5703125" style="2" bestFit="1" customWidth="1"/>
    <col min="21" max="21" width="6.5703125" style="2" bestFit="1" customWidth="1"/>
    <col min="22" max="22" width="5.140625" style="2" bestFit="1" customWidth="1"/>
    <col min="23" max="23" width="4.85546875" style="2" bestFit="1" customWidth="1"/>
    <col min="24" max="24" width="5.7109375" style="2" bestFit="1" customWidth="1"/>
    <col min="25" max="16384" width="9.140625" style="2"/>
  </cols>
  <sheetData>
    <row r="1" spans="1:24" ht="20.25" x14ac:dyDescent="0.3">
      <c r="A1" s="23" t="s">
        <v>89</v>
      </c>
    </row>
    <row r="2" spans="1:24" ht="20.25" x14ac:dyDescent="0.3">
      <c r="A2" s="23" t="s">
        <v>88</v>
      </c>
      <c r="B2" s="60">
        <v>2020</v>
      </c>
      <c r="C2" s="60"/>
      <c r="D2" s="60"/>
      <c r="E2" s="60"/>
      <c r="F2" s="61"/>
      <c r="G2" s="62">
        <v>2021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62">
        <f>+G2+1</f>
        <v>2022</v>
      </c>
      <c r="T2" s="60"/>
      <c r="U2" s="60"/>
      <c r="V2" s="60"/>
      <c r="W2" s="60"/>
      <c r="X2" s="61"/>
    </row>
    <row r="3" spans="1:24" x14ac:dyDescent="0.25">
      <c r="B3" s="25" t="s">
        <v>46</v>
      </c>
      <c r="C3" s="25" t="s">
        <v>47</v>
      </c>
      <c r="D3" s="25" t="s">
        <v>48</v>
      </c>
      <c r="E3" s="25" t="s">
        <v>49</v>
      </c>
      <c r="F3" s="26" t="s">
        <v>50</v>
      </c>
      <c r="G3" s="24" t="s">
        <v>40</v>
      </c>
      <c r="H3" s="25" t="s">
        <v>41</v>
      </c>
      <c r="I3" s="25" t="s">
        <v>42</v>
      </c>
      <c r="J3" s="25" t="s">
        <v>43</v>
      </c>
      <c r="K3" s="25" t="s">
        <v>21</v>
      </c>
      <c r="L3" s="25" t="s">
        <v>44</v>
      </c>
      <c r="M3" s="25" t="s">
        <v>45</v>
      </c>
      <c r="N3" s="25" t="s">
        <v>46</v>
      </c>
      <c r="O3" s="25" t="s">
        <v>47</v>
      </c>
      <c r="P3" s="25" t="s">
        <v>48</v>
      </c>
      <c r="Q3" s="25" t="s">
        <v>49</v>
      </c>
      <c r="R3" s="26" t="s">
        <v>50</v>
      </c>
      <c r="S3" s="24" t="s">
        <v>40</v>
      </c>
      <c r="T3" s="25" t="s">
        <v>41</v>
      </c>
      <c r="U3" s="25" t="s">
        <v>42</v>
      </c>
      <c r="V3" s="25" t="s">
        <v>43</v>
      </c>
      <c r="W3" s="25" t="s">
        <v>21</v>
      </c>
      <c r="X3" s="26" t="s">
        <v>44</v>
      </c>
    </row>
    <row r="4" spans="1:24" x14ac:dyDescent="0.25">
      <c r="A4" s="11" t="s">
        <v>39</v>
      </c>
      <c r="B4" s="27">
        <v>720</v>
      </c>
      <c r="C4" s="27">
        <v>696</v>
      </c>
      <c r="D4" s="27">
        <v>720</v>
      </c>
      <c r="E4" s="27">
        <v>696</v>
      </c>
      <c r="F4" s="27">
        <v>720</v>
      </c>
      <c r="G4" s="28">
        <v>720</v>
      </c>
      <c r="H4" s="27">
        <v>648</v>
      </c>
      <c r="I4" s="27">
        <v>720</v>
      </c>
      <c r="J4" s="27">
        <v>384</v>
      </c>
      <c r="K4" s="27">
        <v>528</v>
      </c>
      <c r="L4" s="27">
        <v>696</v>
      </c>
      <c r="M4" s="27">
        <v>720</v>
      </c>
      <c r="N4" s="27">
        <v>720</v>
      </c>
      <c r="O4" s="27">
        <v>696</v>
      </c>
      <c r="P4" s="27">
        <v>720</v>
      </c>
      <c r="Q4" s="27">
        <v>696</v>
      </c>
      <c r="R4" s="29">
        <v>720</v>
      </c>
      <c r="S4" s="27">
        <v>720</v>
      </c>
      <c r="T4" s="27">
        <v>648</v>
      </c>
      <c r="U4" s="27">
        <v>360</v>
      </c>
      <c r="V4" s="27">
        <v>696</v>
      </c>
      <c r="W4" s="27">
        <v>720</v>
      </c>
      <c r="X4" s="29">
        <v>696</v>
      </c>
    </row>
    <row r="5" spans="1:24" x14ac:dyDescent="0.25">
      <c r="A5" s="8" t="s">
        <v>51</v>
      </c>
      <c r="C5" s="30">
        <f>SUM(B4:C4)</f>
        <v>1416</v>
      </c>
      <c r="F5" s="30">
        <f>SUM(D4:F4)</f>
        <v>2136</v>
      </c>
      <c r="I5" s="30">
        <f>SUM(G4:I4)</f>
        <v>2088</v>
      </c>
      <c r="L5" s="30">
        <f>SUM(J4:L4)</f>
        <v>1608</v>
      </c>
      <c r="O5" s="30">
        <f>SUM(M4:O4)</f>
        <v>2136</v>
      </c>
      <c r="R5" s="30">
        <f>SUM(P4:R4)</f>
        <v>2136</v>
      </c>
      <c r="U5" s="30">
        <f>SUM(S4:U4)</f>
        <v>1728</v>
      </c>
      <c r="X5" s="30">
        <f>SUM(V4:X4)</f>
        <v>2112</v>
      </c>
    </row>
    <row r="6" spans="1:24" x14ac:dyDescent="0.25">
      <c r="A6" s="2" t="s">
        <v>52</v>
      </c>
      <c r="C6" s="2">
        <f>Starts!S8</f>
        <v>2</v>
      </c>
      <c r="F6" s="2">
        <f>Starts!T8</f>
        <v>3</v>
      </c>
      <c r="I6" s="2">
        <f>Starts!Q9</f>
        <v>3</v>
      </c>
      <c r="L6" s="2">
        <f>Starts!R9</f>
        <v>3</v>
      </c>
      <c r="O6" s="2">
        <f>Starts!S9</f>
        <v>3</v>
      </c>
      <c r="R6" s="2">
        <f>Starts!T9</f>
        <v>3</v>
      </c>
      <c r="U6" s="2">
        <f>Starts!Q10</f>
        <v>3</v>
      </c>
      <c r="X6" s="2">
        <f>Starts!R10</f>
        <v>3</v>
      </c>
    </row>
    <row r="7" spans="1:24" x14ac:dyDescent="0.25">
      <c r="A7" s="2" t="s">
        <v>57</v>
      </c>
      <c r="C7" s="2">
        <f>+C5/C6</f>
        <v>708</v>
      </c>
      <c r="F7" s="2">
        <f>+F5/F6</f>
        <v>712</v>
      </c>
      <c r="I7" s="2">
        <f>+I5/I6</f>
        <v>696</v>
      </c>
      <c r="L7" s="2">
        <f>+L5/L6</f>
        <v>536</v>
      </c>
      <c r="O7" s="2">
        <f>+O5/O6</f>
        <v>712</v>
      </c>
      <c r="R7" s="2">
        <f>+R5/R6</f>
        <v>712</v>
      </c>
      <c r="U7" s="2">
        <f>+U5/U6</f>
        <v>576</v>
      </c>
      <c r="X7" s="2">
        <f>+X5/X6</f>
        <v>704</v>
      </c>
    </row>
    <row r="11" spans="1:24" x14ac:dyDescent="0.25">
      <c r="A11" s="31"/>
    </row>
  </sheetData>
  <mergeCells count="3">
    <mergeCell ref="B2:F2"/>
    <mergeCell ref="G2:R2"/>
    <mergeCell ref="S2:X2"/>
  </mergeCells>
  <conditionalFormatting sqref="C7">
    <cfRule type="cellIs" dxfId="1" priority="12" operator="lessThan">
      <formula>28.9</formula>
    </cfRule>
  </conditionalFormatting>
  <conditionalFormatting sqref="D7:X7">
    <cfRule type="cellIs" dxfId="0" priority="1" operator="lessThan">
      <formula>28.9</formula>
    </cfRule>
  </conditionalFormatting>
  <pageMargins left="0.7" right="0.7" top="0.75" bottom="1" header="0.5" footer="0.5"/>
  <pageSetup fitToWidth="10" orientation="landscape" verticalDpi="90" r:id="rId1"/>
  <headerFooter>
    <oddFooter xml:space="preserve">&amp;R&amp;"Times New Roman,Bold"&amp;12Case No. 2020-00350
Attachment 2 to Response to AG-KIUC-2 Question No. 22(e)
&amp;P of &amp;N
Garrett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4"/>
  <sheetViews>
    <sheetView workbookViewId="0"/>
  </sheetViews>
  <sheetFormatPr defaultRowHeight="15" x14ac:dyDescent="0.25"/>
  <cols>
    <col min="1" max="1" width="36.42578125" style="2" bestFit="1" customWidth="1"/>
    <col min="2" max="2" width="11.85546875" style="2" bestFit="1" customWidth="1"/>
    <col min="3" max="13" width="9.140625" style="12"/>
    <col min="14" max="16384" width="9.140625" style="2"/>
  </cols>
  <sheetData>
    <row r="1" spans="1:8" x14ac:dyDescent="0.25">
      <c r="A1" s="2" t="s">
        <v>0</v>
      </c>
    </row>
    <row r="3" spans="1:8" x14ac:dyDescent="0.25">
      <c r="A3" s="2" t="s">
        <v>5</v>
      </c>
      <c r="B3" s="13">
        <v>0.06</v>
      </c>
    </row>
    <row r="4" spans="1:8" x14ac:dyDescent="0.25">
      <c r="A4" s="2" t="s">
        <v>96</v>
      </c>
      <c r="B4" s="13">
        <v>0.71</v>
      </c>
    </row>
    <row r="5" spans="1:8" x14ac:dyDescent="0.25">
      <c r="A5" s="2" t="s">
        <v>95</v>
      </c>
      <c r="B5" s="13">
        <f>1-B4</f>
        <v>0.29000000000000004</v>
      </c>
    </row>
    <row r="6" spans="1:8" x14ac:dyDescent="0.25">
      <c r="B6" s="14"/>
    </row>
    <row r="7" spans="1:8" x14ac:dyDescent="0.25">
      <c r="A7" s="15" t="s">
        <v>6</v>
      </c>
      <c r="B7" s="16" t="s">
        <v>1</v>
      </c>
    </row>
    <row r="8" spans="1:8" x14ac:dyDescent="0.25">
      <c r="A8" s="2" t="s">
        <v>2</v>
      </c>
      <c r="B8" s="17">
        <f>403.173*2</f>
        <v>806.346</v>
      </c>
      <c r="C8" s="18" t="s">
        <v>84</v>
      </c>
    </row>
    <row r="9" spans="1:8" x14ac:dyDescent="0.25">
      <c r="A9" s="2" t="s">
        <v>3</v>
      </c>
      <c r="B9" s="17">
        <f>10550.69*2</f>
        <v>21101.38</v>
      </c>
      <c r="C9" s="19" t="s">
        <v>94</v>
      </c>
      <c r="D9" s="20"/>
      <c r="E9" s="20"/>
      <c r="F9" s="20"/>
      <c r="G9" s="20"/>
      <c r="H9" s="20"/>
    </row>
    <row r="10" spans="1:8" x14ac:dyDescent="0.25">
      <c r="B10" s="21"/>
    </row>
    <row r="11" spans="1:8" x14ac:dyDescent="0.25">
      <c r="A11" s="8" t="s">
        <v>86</v>
      </c>
      <c r="B11" s="22">
        <f>340424.86+14502.1</f>
        <v>354926.95999999996</v>
      </c>
      <c r="C11" s="12" t="s">
        <v>87</v>
      </c>
    </row>
    <row r="12" spans="1:8" x14ac:dyDescent="0.25">
      <c r="A12" s="2" t="s">
        <v>63</v>
      </c>
      <c r="B12" s="2">
        <v>1.024</v>
      </c>
    </row>
    <row r="14" spans="1:8" x14ac:dyDescent="0.25">
      <c r="B14" s="5"/>
    </row>
  </sheetData>
  <pageMargins left="0.7" right="0.7" top="0.75" bottom="1" header="0.5" footer="0.5"/>
  <pageSetup orientation="landscape" verticalDpi="90" r:id="rId1"/>
  <headerFooter>
    <oddFooter xml:space="preserve">&amp;R&amp;"Times New Roman,Bold"&amp;12Case No. 2020-00350
Attachment 2 to Response to AG-KIUC-2 Question No. 22(e)
&amp;P of &amp;N
Garrett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5" ma:contentTypeDescription="Create a new document." ma:contentTypeScope="" ma:versionID="eae1364508315b2920f79f01a5d5b329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abcc0630d2075f4119cf8416546f338e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022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009B0D36-79EF-4E4C-AD1C-7827DB15137B}"/>
</file>

<file path=customXml/itemProps2.xml><?xml version="1.0" encoding="utf-8"?>
<ds:datastoreItem xmlns:ds="http://schemas.openxmlformats.org/officeDocument/2006/customXml" ds:itemID="{268640F5-23A0-4192-ADC1-EDC1BB075211}"/>
</file>

<file path=customXml/itemProps3.xml><?xml version="1.0" encoding="utf-8"?>
<ds:datastoreItem xmlns:ds="http://schemas.openxmlformats.org/officeDocument/2006/customXml" ds:itemID="{DCA0E891-0A77-44C1-A913-F7E73F8B6260}"/>
</file>

<file path=customXml/itemProps4.xml><?xml version="1.0" encoding="utf-8"?>
<ds:datastoreItem xmlns:ds="http://schemas.openxmlformats.org/officeDocument/2006/customXml" ds:itemID="{5F7BA4EF-7197-4C40-B647-8EDFC4A6D9E8}"/>
</file>

<file path=customXml/itemProps5.xml><?xml version="1.0" encoding="utf-8"?>
<ds:datastoreItem xmlns:ds="http://schemas.openxmlformats.org/officeDocument/2006/customXml" ds:itemID="{42D864ED-4729-4ADC-BD75-F94873CF8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Roll forward</vt:lpstr>
      <vt:lpstr>LTPC</vt:lpstr>
      <vt:lpstr>Starts</vt:lpstr>
      <vt:lpstr>operating hours</vt:lpstr>
      <vt:lpstr>Fees</vt:lpstr>
      <vt:lpstr>'operating hours'!Print_Titles</vt:lpstr>
      <vt:lpstr>'Roll forward'!Print_Titles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Karavayev, Louanne</dc:creator>
  <cp:lastModifiedBy>temp</cp:lastModifiedBy>
  <cp:lastPrinted>2021-02-09T19:21:52Z</cp:lastPrinted>
  <dcterms:created xsi:type="dcterms:W3CDTF">2012-07-10T19:09:39Z</dcterms:created>
  <dcterms:modified xsi:type="dcterms:W3CDTF">2021-02-11T16:52:16Z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65de27-20ef-4eb5-94ff-abaf6a06cb9e_Enabled">
    <vt:lpwstr>true</vt:lpwstr>
  </property>
  <property fmtid="{D5CDD505-2E9C-101B-9397-08002B2CF9AE}" pid="3" name="MSIP_Label_e965de27-20ef-4eb5-94ff-abaf6a06cb9e_SetDate">
    <vt:lpwstr>2021-02-06T17:10:39Z</vt:lpwstr>
  </property>
  <property fmtid="{D5CDD505-2E9C-101B-9397-08002B2CF9AE}" pid="4" name="MSIP_Label_e965de27-20ef-4eb5-94ff-abaf6a06cb9e_Method">
    <vt:lpwstr>Privileged</vt:lpwstr>
  </property>
  <property fmtid="{D5CDD505-2E9C-101B-9397-08002B2CF9AE}" pid="5" name="MSIP_Label_e965de27-20ef-4eb5-94ff-abaf6a06cb9e_Name">
    <vt:lpwstr>e965de27-20ef-4eb5-94ff-abaf6a06cb9e</vt:lpwstr>
  </property>
  <property fmtid="{D5CDD505-2E9C-101B-9397-08002B2CF9AE}" pid="6" name="MSIP_Label_e965de27-20ef-4eb5-94ff-abaf6a06cb9e_SiteId">
    <vt:lpwstr>5ee3b0ba-a559-45ee-a69e-6d3e963a3e72</vt:lpwstr>
  </property>
  <property fmtid="{D5CDD505-2E9C-101B-9397-08002B2CF9AE}" pid="7" name="MSIP_Label_e965de27-20ef-4eb5-94ff-abaf6a06cb9e_ActionId">
    <vt:lpwstr>38326427-b8eb-4260-8732-47e53f9f7a96</vt:lpwstr>
  </property>
  <property fmtid="{D5CDD505-2E9C-101B-9397-08002B2CF9AE}" pid="8" name="MSIP_Label_e965de27-20ef-4eb5-94ff-abaf6a06cb9e_ContentBits">
    <vt:lpwstr>0</vt:lpwstr>
  </property>
  <property fmtid="{D5CDD505-2E9C-101B-9397-08002B2CF9AE}" pid="9" name="ContentTypeId">
    <vt:lpwstr>0x0101002D0103853DF7894DB347713A7250CD66</vt:lpwstr>
  </property>
</Properties>
</file>