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 defaultThemeVersion="124226"/>
  <xr:revisionPtr revIDLastSave="0" documentId="13_ncr:1_{92BEB767-3A7D-464E-9596-066EF0DB06AF}" xr6:coauthVersionLast="45" xr6:coauthVersionMax="45" xr10:uidLastSave="{00000000-0000-0000-0000-000000000000}"/>
  <bookViews>
    <workbookView xWindow="-12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  <sheet name="ExcessADIT" sheetId="14" r:id="rId10"/>
  </sheets>
  <externalReferences>
    <externalReference r:id="rId11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B'!$A$1:$I$85</definedName>
    <definedName name="_xlnm.Print_Area" localSheetId="7">'Current Tax F'!$A$1:$I$83</definedName>
    <definedName name="_xlnm.Print_Area" localSheetId="6">'Deferred Tax B'!$A$1:$I$76</definedName>
    <definedName name="_xlnm.Print_Area" localSheetId="8">'Deferred Tax F'!$A$1:$I$77</definedName>
    <definedName name="_xlnm.Print_Area" localSheetId="1">'Sch E Index'!$A$3:$D$26</definedName>
    <definedName name="_xlnm.Print_Area" localSheetId="2">'SCH E-1'!$A$1:$Q$153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10" l="1"/>
  <c r="E101" i="10"/>
  <c r="E100" i="10"/>
  <c r="E99" i="10"/>
  <c r="E98" i="10"/>
  <c r="E58" i="10"/>
  <c r="E57" i="10"/>
  <c r="E56" i="10"/>
  <c r="E55" i="10"/>
  <c r="E54" i="10"/>
  <c r="A105" i="2" l="1"/>
  <c r="A106" i="2"/>
  <c r="A107" i="2" s="1"/>
  <c r="C52" i="12" l="1"/>
  <c r="E51" i="10" l="1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59" i="11" l="1"/>
  <c r="D106" i="12"/>
  <c r="E106" i="12" s="1"/>
  <c r="C84" i="11"/>
  <c r="E84" i="11"/>
  <c r="I117" i="12"/>
  <c r="E99" i="12"/>
  <c r="E52" i="12"/>
  <c r="E108" i="12"/>
  <c r="E107" i="12"/>
  <c r="E105" i="12"/>
  <c r="E104" i="12"/>
  <c r="E101" i="12"/>
  <c r="E100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4" i="12"/>
  <c r="E53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3" i="12"/>
  <c r="E97" i="11"/>
  <c r="E96" i="11"/>
  <c r="E95" i="11"/>
  <c r="E94" i="11"/>
  <c r="E83" i="11"/>
  <c r="E82" i="11"/>
  <c r="E81" i="11"/>
  <c r="E80" i="11"/>
  <c r="E74" i="11"/>
  <c r="E73" i="11"/>
  <c r="E72" i="11"/>
  <c r="E61" i="11"/>
  <c r="E60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19" i="11"/>
  <c r="E18" i="11"/>
  <c r="E17" i="11"/>
  <c r="E16" i="11"/>
  <c r="E15" i="11"/>
  <c r="E11" i="11"/>
  <c r="E10" i="11"/>
  <c r="E55" i="9" l="1"/>
  <c r="E93" i="9"/>
  <c r="E92" i="9"/>
  <c r="E91" i="9"/>
  <c r="E90" i="9"/>
  <c r="E80" i="9"/>
  <c r="E79" i="9"/>
  <c r="E78" i="9"/>
  <c r="E77" i="9"/>
  <c r="E76" i="9"/>
  <c r="E70" i="9"/>
  <c r="E69" i="9"/>
  <c r="E68" i="9"/>
  <c r="E11" i="9"/>
  <c r="E10" i="9"/>
  <c r="E18" i="9"/>
  <c r="E17" i="9"/>
  <c r="E16" i="9"/>
  <c r="E15" i="9"/>
  <c r="E57" i="9"/>
  <c r="E56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H58" i="12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AE50" i="14" s="1"/>
  <c r="R50" i="14"/>
  <c r="Q50" i="14"/>
  <c r="P50" i="14"/>
  <c r="O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N50" i="14" s="1"/>
  <c r="AE49" i="14"/>
  <c r="N49" i="14"/>
  <c r="AE48" i="14"/>
  <c r="N48" i="14"/>
  <c r="AE44" i="14"/>
  <c r="N44" i="14"/>
  <c r="AD43" i="14"/>
  <c r="AC43" i="14"/>
  <c r="AB43" i="14"/>
  <c r="AA43" i="14"/>
  <c r="Z43" i="14"/>
  <c r="Y43" i="14"/>
  <c r="X43" i="14"/>
  <c r="W43" i="14"/>
  <c r="V43" i="14"/>
  <c r="U43" i="14"/>
  <c r="T43" i="14"/>
  <c r="AE43" i="14" s="1"/>
  <c r="S43" i="14"/>
  <c r="R43" i="14"/>
  <c r="Q43" i="14"/>
  <c r="P43" i="14"/>
  <c r="O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N43" i="14" s="1"/>
  <c r="AE42" i="14"/>
  <c r="N42" i="14"/>
  <c r="AE41" i="14"/>
  <c r="N41" i="14"/>
  <c r="AE38" i="14"/>
  <c r="N38" i="14"/>
  <c r="AE36" i="14"/>
  <c r="N36" i="14"/>
  <c r="AD33" i="14"/>
  <c r="AC33" i="14"/>
  <c r="AB33" i="14"/>
  <c r="AA33" i="14"/>
  <c r="Z33" i="14"/>
  <c r="Y33" i="14"/>
  <c r="X33" i="14"/>
  <c r="W33" i="14"/>
  <c r="V33" i="14"/>
  <c r="AE33" i="14" s="1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N32" i="14"/>
  <c r="AE31" i="14"/>
  <c r="N31" i="14"/>
  <c r="AD28" i="14"/>
  <c r="AD35" i="14" s="1"/>
  <c r="AC28" i="14"/>
  <c r="AC35" i="14" s="1"/>
  <c r="AB28" i="14"/>
  <c r="AB35" i="14" s="1"/>
  <c r="AA28" i="14"/>
  <c r="AA35" i="14" s="1"/>
  <c r="Z28" i="14"/>
  <c r="Z35" i="14" s="1"/>
  <c r="Y28" i="14"/>
  <c r="Y35" i="14" s="1"/>
  <c r="X28" i="14"/>
  <c r="X35" i="14" s="1"/>
  <c r="W28" i="14"/>
  <c r="W35" i="14" s="1"/>
  <c r="V28" i="14"/>
  <c r="V35" i="14" s="1"/>
  <c r="U28" i="14"/>
  <c r="U35" i="14" s="1"/>
  <c r="T28" i="14"/>
  <c r="T35" i="14" s="1"/>
  <c r="S28" i="14"/>
  <c r="AE28" i="14" s="1"/>
  <c r="R28" i="14"/>
  <c r="R35" i="14" s="1"/>
  <c r="Q28" i="14"/>
  <c r="Q35" i="14" s="1"/>
  <c r="P28" i="14"/>
  <c r="P35" i="14" s="1"/>
  <c r="O28" i="14"/>
  <c r="O35" i="14" s="1"/>
  <c r="M28" i="14"/>
  <c r="M35" i="14" s="1"/>
  <c r="L28" i="14"/>
  <c r="L35" i="14" s="1"/>
  <c r="K28" i="14"/>
  <c r="K35" i="14" s="1"/>
  <c r="J28" i="14"/>
  <c r="J35" i="14" s="1"/>
  <c r="I28" i="14"/>
  <c r="I35" i="14" s="1"/>
  <c r="H28" i="14"/>
  <c r="H35" i="14" s="1"/>
  <c r="G28" i="14"/>
  <c r="G35" i="14" s="1"/>
  <c r="F28" i="14"/>
  <c r="F35" i="14" s="1"/>
  <c r="E28" i="14"/>
  <c r="E35" i="14" s="1"/>
  <c r="D28" i="14"/>
  <c r="D35" i="14" s="1"/>
  <c r="C28" i="14"/>
  <c r="C35" i="14" s="1"/>
  <c r="B28" i="14"/>
  <c r="N28" i="14" s="1"/>
  <c r="AE27" i="14"/>
  <c r="N27" i="14"/>
  <c r="AE26" i="14"/>
  <c r="N26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AE22" i="14" s="1"/>
  <c r="R22" i="14"/>
  <c r="Q22" i="14"/>
  <c r="P22" i="14"/>
  <c r="O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N22" i="14" s="1"/>
  <c r="AE21" i="14"/>
  <c r="N21" i="14"/>
  <c r="AE20" i="14"/>
  <c r="N20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AE17" i="14" s="1"/>
  <c r="R17" i="14"/>
  <c r="Q17" i="14"/>
  <c r="P17" i="14"/>
  <c r="O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N17" i="14" s="1"/>
  <c r="AE16" i="14"/>
  <c r="N16" i="14"/>
  <c r="AE15" i="14"/>
  <c r="N15" i="14"/>
  <c r="AD12" i="14"/>
  <c r="AC12" i="14"/>
  <c r="AB12" i="14"/>
  <c r="AA12" i="14"/>
  <c r="Z12" i="14"/>
  <c r="Y12" i="14"/>
  <c r="X12" i="14"/>
  <c r="W12" i="14"/>
  <c r="V12" i="14"/>
  <c r="AE12" i="14" s="1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N11" i="14"/>
  <c r="AE10" i="14"/>
  <c r="N10" i="14"/>
  <c r="AD7" i="14"/>
  <c r="AC7" i="14"/>
  <c r="AC37" i="14" s="1"/>
  <c r="AB7" i="14"/>
  <c r="AB37" i="14" s="1"/>
  <c r="AA7" i="14"/>
  <c r="AA37" i="14" s="1"/>
  <c r="Z7" i="14"/>
  <c r="Z37" i="14" s="1"/>
  <c r="Y7" i="14"/>
  <c r="Y37" i="14" s="1"/>
  <c r="X7" i="14"/>
  <c r="W7" i="14"/>
  <c r="W37" i="14" s="1"/>
  <c r="V7" i="14"/>
  <c r="U7" i="14"/>
  <c r="U37" i="14" s="1"/>
  <c r="T7" i="14"/>
  <c r="T37" i="14" s="1"/>
  <c r="S7" i="14"/>
  <c r="AE7" i="14" s="1"/>
  <c r="R7" i="14"/>
  <c r="R37" i="14" s="1"/>
  <c r="Q7" i="14"/>
  <c r="Q37" i="14" s="1"/>
  <c r="P7" i="14"/>
  <c r="O7" i="14"/>
  <c r="O37" i="14" s="1"/>
  <c r="M7" i="14"/>
  <c r="L7" i="14"/>
  <c r="L37" i="14" s="1"/>
  <c r="K7" i="14"/>
  <c r="K37" i="14" s="1"/>
  <c r="J7" i="14"/>
  <c r="J37" i="14" s="1"/>
  <c r="I7" i="14"/>
  <c r="I37" i="14" s="1"/>
  <c r="H7" i="14"/>
  <c r="H37" i="14" s="1"/>
  <c r="G7" i="14"/>
  <c r="F7" i="14"/>
  <c r="F37" i="14" s="1"/>
  <c r="E7" i="14"/>
  <c r="D7" i="14"/>
  <c r="D37" i="14" s="1"/>
  <c r="C7" i="14"/>
  <c r="C37" i="14" s="1"/>
  <c r="B7" i="14"/>
  <c r="N7" i="14" s="1"/>
  <c r="AE6" i="14"/>
  <c r="N6" i="14"/>
  <c r="AE5" i="14"/>
  <c r="N5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G37" i="14" l="1"/>
  <c r="P37" i="14"/>
  <c r="X37" i="14"/>
  <c r="E37" i="14"/>
  <c r="M37" i="14"/>
  <c r="V37" i="14"/>
  <c r="AD37" i="14"/>
  <c r="B35" i="14"/>
  <c r="N35" i="14" s="1"/>
  <c r="B37" i="14"/>
  <c r="N37" i="14" s="1"/>
  <c r="S35" i="14"/>
  <c r="AE35" i="14" s="1"/>
  <c r="S37" i="14"/>
  <c r="AE37" i="14" l="1"/>
  <c r="G57" i="12" l="1"/>
  <c r="I57" i="12" s="1"/>
  <c r="O17" i="2" l="1"/>
  <c r="G117" i="12"/>
  <c r="G66" i="12"/>
  <c r="I66" i="12" s="1"/>
  <c r="G67" i="12"/>
  <c r="I67" i="12" s="1"/>
  <c r="G68" i="12"/>
  <c r="I68" i="12" s="1"/>
  <c r="G69" i="12"/>
  <c r="I69" i="12" s="1"/>
  <c r="G70" i="12"/>
  <c r="I70" i="12" s="1"/>
  <c r="G71" i="12"/>
  <c r="I71" i="12" s="1"/>
  <c r="G72" i="12"/>
  <c r="I72" i="12" s="1"/>
  <c r="G73" i="12"/>
  <c r="I73" i="12" s="1"/>
  <c r="G74" i="12"/>
  <c r="I74" i="12" s="1"/>
  <c r="G75" i="12"/>
  <c r="I75" i="12" s="1"/>
  <c r="I129" i="2" s="1"/>
  <c r="M129" i="2" s="1"/>
  <c r="Q129" i="2" s="1"/>
  <c r="G76" i="12"/>
  <c r="I76" i="12" s="1"/>
  <c r="G77" i="12"/>
  <c r="I77" i="12" s="1"/>
  <c r="G78" i="12"/>
  <c r="I78" i="12" s="1"/>
  <c r="G79" i="12"/>
  <c r="I79" i="12" s="1"/>
  <c r="G80" i="12"/>
  <c r="I80" i="12" s="1"/>
  <c r="I132" i="2" s="1"/>
  <c r="G81" i="12"/>
  <c r="I81" i="12" s="1"/>
  <c r="G82" i="12"/>
  <c r="I82" i="12" s="1"/>
  <c r="G83" i="12"/>
  <c r="I83" i="12" s="1"/>
  <c r="G84" i="12"/>
  <c r="I84" i="12" s="1"/>
  <c r="G85" i="12"/>
  <c r="I85" i="12" s="1"/>
  <c r="G86" i="12"/>
  <c r="I86" i="12" s="1"/>
  <c r="G87" i="12"/>
  <c r="I87" i="12" s="1"/>
  <c r="G88" i="12"/>
  <c r="I88" i="12" s="1"/>
  <c r="G89" i="12"/>
  <c r="I89" i="12" s="1"/>
  <c r="G90" i="12"/>
  <c r="I90" i="12" s="1"/>
  <c r="G91" i="12"/>
  <c r="I91" i="12" s="1"/>
  <c r="G92" i="12"/>
  <c r="I92" i="12" s="1"/>
  <c r="G93" i="12"/>
  <c r="I93" i="12" s="1"/>
  <c r="G94" i="12"/>
  <c r="I94" i="12" s="1"/>
  <c r="E102" i="12"/>
  <c r="D102" i="12"/>
  <c r="C102" i="12"/>
  <c r="G18" i="12"/>
  <c r="I18" i="12" s="1"/>
  <c r="G19" i="12"/>
  <c r="I19" i="12" s="1"/>
  <c r="G20" i="12"/>
  <c r="I20" i="12" s="1"/>
  <c r="G21" i="12"/>
  <c r="I21" i="12" s="1"/>
  <c r="G22" i="12"/>
  <c r="I22" i="1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I88" i="2" s="1"/>
  <c r="M88" i="2" s="1"/>
  <c r="Q88" i="2" s="1"/>
  <c r="G29" i="12"/>
  <c r="I29" i="12" s="1"/>
  <c r="G30" i="12"/>
  <c r="I30" i="12" s="1"/>
  <c r="G31" i="12"/>
  <c r="I31" i="12" s="1"/>
  <c r="G32" i="12"/>
  <c r="I32" i="12" s="1"/>
  <c r="G33" i="12"/>
  <c r="I33" i="12" s="1"/>
  <c r="I91" i="2" s="1"/>
  <c r="G34" i="12"/>
  <c r="I34" i="12" s="1"/>
  <c r="G35" i="12"/>
  <c r="I35" i="12" s="1"/>
  <c r="G36" i="12"/>
  <c r="I36" i="12" s="1"/>
  <c r="G37" i="12"/>
  <c r="I37" i="12" s="1"/>
  <c r="G38" i="12"/>
  <c r="I38" i="12" s="1"/>
  <c r="G39" i="12"/>
  <c r="I39" i="12" s="1"/>
  <c r="G40" i="12"/>
  <c r="I40" i="12" s="1"/>
  <c r="G41" i="12"/>
  <c r="I41" i="12" s="1"/>
  <c r="E55" i="12"/>
  <c r="D55" i="12"/>
  <c r="C55" i="12"/>
  <c r="G95" i="11"/>
  <c r="I95" i="11" s="1"/>
  <c r="I58" i="2" s="1"/>
  <c r="D70" i="11"/>
  <c r="D75" i="11" s="1"/>
  <c r="D103" i="11" s="1"/>
  <c r="E62" i="11"/>
  <c r="D62" i="11"/>
  <c r="C62" i="1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G55" i="11"/>
  <c r="I55" i="11" s="1"/>
  <c r="G16" i="11"/>
  <c r="I16" i="11" s="1"/>
  <c r="G17" i="11"/>
  <c r="I17" i="11" s="1"/>
  <c r="G63" i="10"/>
  <c r="I63" i="10" s="1"/>
  <c r="G64" i="10"/>
  <c r="I64" i="10" s="1"/>
  <c r="G65" i="10"/>
  <c r="I65" i="10" s="1"/>
  <c r="G66" i="10"/>
  <c r="I66" i="10" s="1"/>
  <c r="G67" i="10"/>
  <c r="I67" i="10" s="1"/>
  <c r="G68" i="10"/>
  <c r="I68" i="10" s="1"/>
  <c r="G69" i="10"/>
  <c r="I69" i="10" s="1"/>
  <c r="E129" i="2" s="1"/>
  <c r="G129" i="2" s="1"/>
  <c r="G70" i="10"/>
  <c r="I70" i="10" s="1"/>
  <c r="G71" i="10"/>
  <c r="I71" i="10" s="1"/>
  <c r="G72" i="10"/>
  <c r="I72" i="10" s="1"/>
  <c r="G73" i="10"/>
  <c r="I73" i="10" s="1"/>
  <c r="G74" i="10"/>
  <c r="I74" i="10" s="1"/>
  <c r="E132" i="2" s="1"/>
  <c r="G75" i="10"/>
  <c r="I75" i="10" s="1"/>
  <c r="G76" i="10"/>
  <c r="I76" i="10" s="1"/>
  <c r="G77" i="10"/>
  <c r="I77" i="10" s="1"/>
  <c r="G78" i="10"/>
  <c r="I78" i="10" s="1"/>
  <c r="G79" i="10"/>
  <c r="I79" i="10" s="1"/>
  <c r="G80" i="10"/>
  <c r="I80" i="10" s="1"/>
  <c r="G81" i="10"/>
  <c r="I81" i="10" s="1"/>
  <c r="G82" i="10"/>
  <c r="I82" i="10" s="1"/>
  <c r="G83" i="10"/>
  <c r="I83" i="10" s="1"/>
  <c r="G84" i="10"/>
  <c r="I84" i="10" s="1"/>
  <c r="G85" i="10"/>
  <c r="I85" i="10" s="1"/>
  <c r="G86" i="10"/>
  <c r="I86" i="10" s="1"/>
  <c r="G87" i="10"/>
  <c r="I87" i="10" s="1"/>
  <c r="G88" i="10"/>
  <c r="I88" i="10" s="1"/>
  <c r="G89" i="10"/>
  <c r="I89" i="10" s="1"/>
  <c r="G90" i="10"/>
  <c r="I90" i="10" s="1"/>
  <c r="G91" i="10"/>
  <c r="I91" i="10" s="1"/>
  <c r="G92" i="10"/>
  <c r="I92" i="10" s="1"/>
  <c r="E96" i="10"/>
  <c r="I111" i="10"/>
  <c r="G111" i="10"/>
  <c r="I137" i="2" l="1"/>
  <c r="E137" i="2"/>
  <c r="M132" i="2"/>
  <c r="Q132" i="2" s="1"/>
  <c r="G132" i="2"/>
  <c r="M91" i="2"/>
  <c r="Q91" i="2" s="1"/>
  <c r="M58" i="2"/>
  <c r="Q58" i="2" s="1"/>
  <c r="D96" i="10" l="1"/>
  <c r="C96" i="10"/>
  <c r="E52" i="10"/>
  <c r="D52" i="10"/>
  <c r="C52" i="10"/>
  <c r="G20" i="10"/>
  <c r="I20" i="10" s="1"/>
  <c r="G21" i="10"/>
  <c r="I21" i="10" s="1"/>
  <c r="G22" i="10"/>
  <c r="I22" i="10" s="1"/>
  <c r="G23" i="10"/>
  <c r="I23" i="10" s="1"/>
  <c r="G24" i="10"/>
  <c r="I24" i="10" s="1"/>
  <c r="G25" i="10"/>
  <c r="I25" i="10" s="1"/>
  <c r="E88" i="2" s="1"/>
  <c r="G88" i="2" s="1"/>
  <c r="G26" i="10"/>
  <c r="I26" i="10" s="1"/>
  <c r="G27" i="10"/>
  <c r="I27" i="10" s="1"/>
  <c r="G28" i="10"/>
  <c r="I28" i="10" s="1"/>
  <c r="G29" i="10"/>
  <c r="I29" i="10" s="1"/>
  <c r="G30" i="10"/>
  <c r="I30" i="10" s="1"/>
  <c r="E91" i="2" s="1"/>
  <c r="G91" i="2" s="1"/>
  <c r="G31" i="10"/>
  <c r="I31" i="10" s="1"/>
  <c r="G32" i="10"/>
  <c r="I32" i="10" s="1"/>
  <c r="G33" i="10"/>
  <c r="I33" i="10" s="1"/>
  <c r="G34" i="10"/>
  <c r="I34" i="10" s="1"/>
  <c r="G35" i="10"/>
  <c r="I35" i="10" s="1"/>
  <c r="G36" i="10"/>
  <c r="I36" i="10" s="1"/>
  <c r="G37" i="10"/>
  <c r="I37" i="10" s="1"/>
  <c r="G38" i="10"/>
  <c r="I38" i="10" s="1"/>
  <c r="G39" i="10"/>
  <c r="I39" i="10" s="1"/>
  <c r="G40" i="10"/>
  <c r="I40" i="10" s="1"/>
  <c r="G41" i="10"/>
  <c r="I41" i="10" s="1"/>
  <c r="G42" i="10"/>
  <c r="I42" i="10" s="1"/>
  <c r="G43" i="10"/>
  <c r="I43" i="10" s="1"/>
  <c r="G44" i="10"/>
  <c r="I44" i="10" s="1"/>
  <c r="G45" i="10"/>
  <c r="I45" i="10" s="1"/>
  <c r="G46" i="10"/>
  <c r="I46" i="10" s="1"/>
  <c r="G47" i="10"/>
  <c r="I47" i="10" s="1"/>
  <c r="G48" i="10"/>
  <c r="I48" i="10" s="1"/>
  <c r="G49" i="10"/>
  <c r="I49" i="10" s="1"/>
  <c r="E96" i="2" l="1"/>
  <c r="G91" i="9"/>
  <c r="I91" i="9" s="1"/>
  <c r="E58" i="2" s="1"/>
  <c r="G58" i="2" s="1"/>
  <c r="G79" i="9"/>
  <c r="I79" i="9" s="1"/>
  <c r="E50" i="2" s="1"/>
  <c r="G16" i="9"/>
  <c r="I16" i="9" s="1"/>
  <c r="E58" i="9"/>
  <c r="D58" i="9"/>
  <c r="C58" i="9"/>
  <c r="G24" i="9"/>
  <c r="G25" i="9"/>
  <c r="G26" i="9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3" i="9"/>
  <c r="I33" i="9" s="1"/>
  <c r="G34" i="9"/>
  <c r="I34" i="9" s="1"/>
  <c r="G35" i="9"/>
  <c r="I35" i="9" s="1"/>
  <c r="G36" i="9"/>
  <c r="I36" i="9" s="1"/>
  <c r="G37" i="9"/>
  <c r="I37" i="9" s="1"/>
  <c r="G38" i="9"/>
  <c r="I38" i="9" s="1"/>
  <c r="G39" i="9"/>
  <c r="I39" i="9" s="1"/>
  <c r="G40" i="9"/>
  <c r="I40" i="9" s="1"/>
  <c r="G41" i="9"/>
  <c r="I41" i="9" s="1"/>
  <c r="G42" i="9"/>
  <c r="I42" i="9" s="1"/>
  <c r="G43" i="9"/>
  <c r="I43" i="9" s="1"/>
  <c r="G44" i="9"/>
  <c r="I44" i="9" s="1"/>
  <c r="G45" i="9"/>
  <c r="I45" i="9" s="1"/>
  <c r="G46" i="9"/>
  <c r="I46" i="9" s="1"/>
  <c r="G47" i="9"/>
  <c r="I47" i="9" s="1"/>
  <c r="G48" i="9"/>
  <c r="I48" i="9" s="1"/>
  <c r="G49" i="9"/>
  <c r="I49" i="9" s="1"/>
  <c r="G50" i="9"/>
  <c r="G51" i="9"/>
  <c r="G52" i="9"/>
  <c r="G53" i="9"/>
  <c r="G54" i="9"/>
  <c r="G55" i="9"/>
  <c r="G56" i="9"/>
  <c r="G57" i="9"/>
  <c r="A4" i="2" l="1"/>
  <c r="G45" i="12" l="1"/>
  <c r="I45" i="12" s="1"/>
  <c r="G108" i="12" l="1"/>
  <c r="I108" i="12" s="1"/>
  <c r="G107" i="12"/>
  <c r="I107" i="12" s="1"/>
  <c r="G106" i="12"/>
  <c r="I106" i="12" s="1"/>
  <c r="G105" i="12"/>
  <c r="I105" i="12" s="1"/>
  <c r="G104" i="12"/>
  <c r="I104" i="12" s="1"/>
  <c r="H102" i="12"/>
  <c r="H109" i="12" s="1"/>
  <c r="H133" i="12" s="1"/>
  <c r="F102" i="12"/>
  <c r="F109" i="12" s="1"/>
  <c r="F133" i="12" s="1"/>
  <c r="E109" i="12"/>
  <c r="E133" i="12" s="1"/>
  <c r="D109" i="12"/>
  <c r="D133" i="12" s="1"/>
  <c r="C109" i="12"/>
  <c r="C133" i="12" s="1"/>
  <c r="G101" i="12"/>
  <c r="I101" i="12" s="1"/>
  <c r="G100" i="12"/>
  <c r="I100" i="12" s="1"/>
  <c r="G99" i="12"/>
  <c r="I99" i="12" s="1"/>
  <c r="G98" i="12"/>
  <c r="I98" i="12" s="1"/>
  <c r="G97" i="12"/>
  <c r="I97" i="12" s="1"/>
  <c r="G96" i="12"/>
  <c r="I96" i="12" s="1"/>
  <c r="G95" i="12"/>
  <c r="I95" i="12" s="1"/>
  <c r="I133" i="2"/>
  <c r="G65" i="12"/>
  <c r="G61" i="12"/>
  <c r="I61" i="12" s="1"/>
  <c r="G60" i="12"/>
  <c r="I60" i="12" s="1"/>
  <c r="G59" i="12"/>
  <c r="I59" i="12" s="1"/>
  <c r="G58" i="12"/>
  <c r="I58" i="12" s="1"/>
  <c r="H55" i="12"/>
  <c r="H62" i="12" s="1"/>
  <c r="H132" i="12" s="1"/>
  <c r="F55" i="12"/>
  <c r="F62" i="12" s="1"/>
  <c r="F132" i="12" s="1"/>
  <c r="E62" i="12"/>
  <c r="E132" i="12" s="1"/>
  <c r="D62" i="12"/>
  <c r="D132" i="12" s="1"/>
  <c r="C62" i="12"/>
  <c r="C132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I92" i="2" s="1"/>
  <c r="G46" i="12"/>
  <c r="I46" i="12" s="1"/>
  <c r="G44" i="12"/>
  <c r="I44" i="12" s="1"/>
  <c r="G43" i="12"/>
  <c r="I43" i="12" s="1"/>
  <c r="G42" i="12"/>
  <c r="I42" i="12" s="1"/>
  <c r="G17" i="12"/>
  <c r="I17" i="12" s="1"/>
  <c r="I85" i="2" s="1"/>
  <c r="H14" i="12"/>
  <c r="F14" i="12"/>
  <c r="E14" i="12"/>
  <c r="D14" i="12"/>
  <c r="C14" i="12"/>
  <c r="G13" i="12"/>
  <c r="I13" i="12" s="1"/>
  <c r="I14" i="12" s="1"/>
  <c r="G97" i="11"/>
  <c r="I97" i="11" s="1"/>
  <c r="G96" i="11"/>
  <c r="I96" i="11" s="1"/>
  <c r="G94" i="11"/>
  <c r="I94" i="11" s="1"/>
  <c r="G84" i="11"/>
  <c r="I84" i="11" s="1"/>
  <c r="G83" i="11"/>
  <c r="I83" i="11" s="1"/>
  <c r="I50" i="2" s="1"/>
  <c r="G82" i="11"/>
  <c r="I82" i="11" s="1"/>
  <c r="G81" i="11"/>
  <c r="I81" i="11" s="1"/>
  <c r="G80" i="11"/>
  <c r="I80" i="11" s="1"/>
  <c r="G74" i="11"/>
  <c r="I74" i="11" s="1"/>
  <c r="G73" i="11"/>
  <c r="I73" i="11" s="1"/>
  <c r="G72" i="11"/>
  <c r="I72" i="11" s="1"/>
  <c r="H62" i="11"/>
  <c r="F62" i="11"/>
  <c r="G61" i="11"/>
  <c r="I61" i="11" s="1"/>
  <c r="G60" i="11"/>
  <c r="I60" i="11" s="1"/>
  <c r="I28" i="2" s="1"/>
  <c r="G59" i="11"/>
  <c r="I59" i="11" s="1"/>
  <c r="G58" i="11"/>
  <c r="I58" i="11" s="1"/>
  <c r="G57" i="11"/>
  <c r="I57" i="11" s="1"/>
  <c r="G56" i="11"/>
  <c r="I56" i="11" s="1"/>
  <c r="G24" i="11"/>
  <c r="I24" i="11" s="1"/>
  <c r="H21" i="11"/>
  <c r="F21" i="11"/>
  <c r="E21" i="11"/>
  <c r="D21" i="11"/>
  <c r="C21" i="11"/>
  <c r="G19" i="11"/>
  <c r="I19" i="11" s="1"/>
  <c r="G18" i="11"/>
  <c r="I18" i="11" s="1"/>
  <c r="G15" i="11"/>
  <c r="I15" i="11" s="1"/>
  <c r="H12" i="11"/>
  <c r="F12" i="11"/>
  <c r="F64" i="11" s="1"/>
  <c r="E12" i="11"/>
  <c r="E64" i="11" s="1"/>
  <c r="E78" i="11" s="1"/>
  <c r="D12" i="11"/>
  <c r="D64" i="11" s="1"/>
  <c r="D78" i="11" s="1"/>
  <c r="C12" i="11"/>
  <c r="C64" i="11" s="1"/>
  <c r="C78" i="11" s="1"/>
  <c r="G11" i="11"/>
  <c r="I11" i="11" s="1"/>
  <c r="G10" i="11"/>
  <c r="I10" i="11" s="1"/>
  <c r="G102" i="10"/>
  <c r="I102" i="10" s="1"/>
  <c r="G101" i="10"/>
  <c r="I101" i="10" s="1"/>
  <c r="G100" i="10"/>
  <c r="I100" i="10" s="1"/>
  <c r="G99" i="10"/>
  <c r="I99" i="10" s="1"/>
  <c r="G98" i="10"/>
  <c r="I98" i="10" s="1"/>
  <c r="H96" i="10"/>
  <c r="H103" i="10" s="1"/>
  <c r="H128" i="10" s="1"/>
  <c r="F96" i="10"/>
  <c r="F103" i="10" s="1"/>
  <c r="F128" i="10" s="1"/>
  <c r="E103" i="10"/>
  <c r="E128" i="10" s="1"/>
  <c r="D103" i="10"/>
  <c r="D128" i="10" s="1"/>
  <c r="C103" i="10"/>
  <c r="C128" i="10" s="1"/>
  <c r="G95" i="10"/>
  <c r="I95" i="10" s="1"/>
  <c r="G94" i="10"/>
  <c r="I94" i="10" s="1"/>
  <c r="G93" i="10"/>
  <c r="I93" i="10" s="1"/>
  <c r="E133" i="2"/>
  <c r="G62" i="10"/>
  <c r="E59" i="10"/>
  <c r="E127" i="10" s="1"/>
  <c r="D59" i="10"/>
  <c r="D127" i="10" s="1"/>
  <c r="G58" i="10"/>
  <c r="I58" i="10" s="1"/>
  <c r="G57" i="10"/>
  <c r="I57" i="10" s="1"/>
  <c r="G56" i="10"/>
  <c r="I56" i="10" s="1"/>
  <c r="G55" i="10"/>
  <c r="I55" i="10" s="1"/>
  <c r="G54" i="10"/>
  <c r="I54" i="10" s="1"/>
  <c r="H52" i="10"/>
  <c r="H59" i="10" s="1"/>
  <c r="H127" i="10" s="1"/>
  <c r="F52" i="10"/>
  <c r="F59" i="10" s="1"/>
  <c r="F127" i="10" s="1"/>
  <c r="C59" i="10"/>
  <c r="C127" i="10" s="1"/>
  <c r="G51" i="10"/>
  <c r="I51" i="10" s="1"/>
  <c r="G50" i="10"/>
  <c r="I50" i="10" s="1"/>
  <c r="E92" i="2"/>
  <c r="G19" i="10"/>
  <c r="I19" i="10" s="1"/>
  <c r="G18" i="10"/>
  <c r="I18" i="10" s="1"/>
  <c r="G17" i="10"/>
  <c r="I17" i="10" s="1"/>
  <c r="H14" i="10"/>
  <c r="F14" i="10"/>
  <c r="E14" i="10"/>
  <c r="D14" i="10"/>
  <c r="C14" i="10"/>
  <c r="G13" i="10"/>
  <c r="G14" i="10" s="1"/>
  <c r="G93" i="9"/>
  <c r="I93" i="9" s="1"/>
  <c r="E60" i="2" s="1"/>
  <c r="G92" i="9"/>
  <c r="I92" i="9" s="1"/>
  <c r="E59" i="2" s="1"/>
  <c r="G90" i="9"/>
  <c r="I90" i="9" s="1"/>
  <c r="G80" i="9"/>
  <c r="I80" i="9" s="1"/>
  <c r="G77" i="9"/>
  <c r="I77" i="9" s="1"/>
  <c r="G76" i="9"/>
  <c r="I76" i="9" s="1"/>
  <c r="G78" i="9"/>
  <c r="I78" i="9" s="1"/>
  <c r="G70" i="9"/>
  <c r="I70" i="9" s="1"/>
  <c r="G69" i="9"/>
  <c r="I69" i="9" s="1"/>
  <c r="G68" i="9"/>
  <c r="I68" i="9" s="1"/>
  <c r="H58" i="9"/>
  <c r="F58" i="9"/>
  <c r="I57" i="9"/>
  <c r="I56" i="9"/>
  <c r="E28" i="2" s="1"/>
  <c r="I55" i="9"/>
  <c r="I54" i="9"/>
  <c r="I53" i="9"/>
  <c r="I52" i="9"/>
  <c r="I51" i="9"/>
  <c r="I50" i="9"/>
  <c r="I26" i="9"/>
  <c r="I25" i="9"/>
  <c r="I24" i="9"/>
  <c r="G23" i="9"/>
  <c r="H20" i="9"/>
  <c r="F20" i="9"/>
  <c r="E20" i="9"/>
  <c r="D20" i="9"/>
  <c r="C20" i="9"/>
  <c r="C60" i="9" s="1"/>
  <c r="C74" i="9" s="1"/>
  <c r="C82" i="9" s="1"/>
  <c r="G18" i="9"/>
  <c r="I18" i="9" s="1"/>
  <c r="G17" i="9"/>
  <c r="I17" i="9" s="1"/>
  <c r="G15" i="9"/>
  <c r="H12" i="9"/>
  <c r="F12" i="9"/>
  <c r="E12" i="9"/>
  <c r="E60" i="9" s="1"/>
  <c r="E74" i="9" s="1"/>
  <c r="D12" i="9"/>
  <c r="D60" i="9" s="1"/>
  <c r="D74" i="9" s="1"/>
  <c r="C12" i="9"/>
  <c r="G11" i="9"/>
  <c r="I11" i="9" s="1"/>
  <c r="G10" i="9"/>
  <c r="M28" i="2" l="1"/>
  <c r="Q28" i="2" s="1"/>
  <c r="I49" i="2"/>
  <c r="M49" i="2" s="1"/>
  <c r="Q49" i="2" s="1"/>
  <c r="E49" i="2"/>
  <c r="G28" i="2"/>
  <c r="G50" i="2"/>
  <c r="M50" i="2"/>
  <c r="Q50" i="2" s="1"/>
  <c r="G92" i="2"/>
  <c r="M92" i="2"/>
  <c r="Q92" i="2" s="1"/>
  <c r="I12" i="11"/>
  <c r="G12" i="9"/>
  <c r="I23" i="9"/>
  <c r="I58" i="9" s="1"/>
  <c r="G58" i="9"/>
  <c r="F60" i="9"/>
  <c r="I10" i="9"/>
  <c r="I12" i="9" s="1"/>
  <c r="G14" i="12"/>
  <c r="D111" i="12"/>
  <c r="D134" i="12" s="1"/>
  <c r="E111" i="12"/>
  <c r="E134" i="12" s="1"/>
  <c r="G102" i="12"/>
  <c r="G109" i="12" s="1"/>
  <c r="G133" i="12" s="1"/>
  <c r="F111" i="12"/>
  <c r="F134" i="12" s="1"/>
  <c r="I65" i="12"/>
  <c r="I102" i="12" s="1"/>
  <c r="I109" i="12" s="1"/>
  <c r="I133" i="12" s="1"/>
  <c r="H111" i="12"/>
  <c r="H134" i="12" s="1"/>
  <c r="C111" i="12"/>
  <c r="C134" i="12" s="1"/>
  <c r="G55" i="12"/>
  <c r="G62" i="12" s="1"/>
  <c r="G132" i="12" s="1"/>
  <c r="C86" i="11"/>
  <c r="C88" i="11" s="1"/>
  <c r="C91" i="11" s="1"/>
  <c r="C98" i="11" s="1"/>
  <c r="G21" i="11"/>
  <c r="I62" i="11"/>
  <c r="E86" i="11"/>
  <c r="E88" i="11" s="1"/>
  <c r="E91" i="11" s="1"/>
  <c r="E98" i="11" s="1"/>
  <c r="G96" i="10"/>
  <c r="G103" i="10" s="1"/>
  <c r="G128" i="10" s="1"/>
  <c r="I62" i="10"/>
  <c r="I96" i="10" s="1"/>
  <c r="I103" i="10" s="1"/>
  <c r="I128" i="10" s="1"/>
  <c r="I52" i="10"/>
  <c r="I59" i="10" s="1"/>
  <c r="I127" i="10" s="1"/>
  <c r="G52" i="10"/>
  <c r="G59" i="10" s="1"/>
  <c r="G127" i="10" s="1"/>
  <c r="D105" i="10"/>
  <c r="D129" i="10" s="1"/>
  <c r="E105" i="10"/>
  <c r="E129" i="10" s="1"/>
  <c r="C105" i="10"/>
  <c r="C129" i="10" s="1"/>
  <c r="H105" i="10"/>
  <c r="H129" i="10" s="1"/>
  <c r="G20" i="9"/>
  <c r="H60" i="9"/>
  <c r="H74" i="9" s="1"/>
  <c r="H82" i="9" s="1"/>
  <c r="H84" i="9" s="1"/>
  <c r="H87" i="9" s="1"/>
  <c r="H94" i="9" s="1"/>
  <c r="I55" i="12"/>
  <c r="I62" i="12" s="1"/>
  <c r="I132" i="12" s="1"/>
  <c r="I21" i="11"/>
  <c r="G12" i="11"/>
  <c r="H64" i="11"/>
  <c r="G62" i="11"/>
  <c r="F78" i="11"/>
  <c r="F86" i="11" s="1"/>
  <c r="F88" i="11" s="1"/>
  <c r="F91" i="11" s="1"/>
  <c r="F98" i="11" s="1"/>
  <c r="F105" i="10"/>
  <c r="F129" i="10" s="1"/>
  <c r="I13" i="10"/>
  <c r="I14" i="10" s="1"/>
  <c r="D82" i="9"/>
  <c r="D84" i="9" s="1"/>
  <c r="D87" i="9" s="1"/>
  <c r="D94" i="9" s="1"/>
  <c r="E82" i="9"/>
  <c r="E84" i="9" s="1"/>
  <c r="E87" i="9" s="1"/>
  <c r="E94" i="9" s="1"/>
  <c r="I15" i="9"/>
  <c r="I20" i="9" s="1"/>
  <c r="G49" i="2" l="1"/>
  <c r="C65" i="11"/>
  <c r="C67" i="11" s="1"/>
  <c r="C104" i="11"/>
  <c r="F65" i="11"/>
  <c r="F67" i="11" s="1"/>
  <c r="F70" i="11" s="1"/>
  <c r="F75" i="11" s="1"/>
  <c r="F103" i="11" s="1"/>
  <c r="F104" i="11"/>
  <c r="E65" i="11"/>
  <c r="E104" i="11"/>
  <c r="H61" i="9"/>
  <c r="H63" i="9" s="1"/>
  <c r="H66" i="9" s="1"/>
  <c r="H71" i="9" s="1"/>
  <c r="H99" i="9" s="1"/>
  <c r="H100" i="9"/>
  <c r="D61" i="9"/>
  <c r="D63" i="9" s="1"/>
  <c r="D66" i="9" s="1"/>
  <c r="D71" i="9" s="1"/>
  <c r="D99" i="9" s="1"/>
  <c r="D100" i="9"/>
  <c r="E61" i="9"/>
  <c r="E63" i="9" s="1"/>
  <c r="E66" i="9" s="1"/>
  <c r="E71" i="9" s="1"/>
  <c r="E99" i="9" s="1"/>
  <c r="E100" i="9"/>
  <c r="C70" i="11"/>
  <c r="C75" i="11" s="1"/>
  <c r="C103" i="11" s="1"/>
  <c r="E67" i="11"/>
  <c r="E70" i="11" s="1"/>
  <c r="E75" i="11" s="1"/>
  <c r="E103" i="11" s="1"/>
  <c r="I64" i="11"/>
  <c r="I78" i="11" s="1"/>
  <c r="I86" i="11" s="1"/>
  <c r="I88" i="11" s="1"/>
  <c r="I91" i="11" s="1"/>
  <c r="I98" i="11" s="1"/>
  <c r="F74" i="9"/>
  <c r="F82" i="9" s="1"/>
  <c r="F84" i="9" s="1"/>
  <c r="F87" i="9" s="1"/>
  <c r="F94" i="9" s="1"/>
  <c r="G60" i="9"/>
  <c r="G74" i="9" s="1"/>
  <c r="G82" i="9" s="1"/>
  <c r="G84" i="9" s="1"/>
  <c r="G87" i="9" s="1"/>
  <c r="G94" i="9" s="1"/>
  <c r="I60" i="9"/>
  <c r="I74" i="9" s="1"/>
  <c r="I82" i="9" s="1"/>
  <c r="I84" i="9" s="1"/>
  <c r="I87" i="9" s="1"/>
  <c r="I94" i="9" s="1"/>
  <c r="G111" i="12"/>
  <c r="G134" i="12" s="1"/>
  <c r="I111" i="12"/>
  <c r="I134" i="12" s="1"/>
  <c r="G105" i="10"/>
  <c r="G129" i="10" s="1"/>
  <c r="D86" i="11"/>
  <c r="D88" i="11" s="1"/>
  <c r="D91" i="11" s="1"/>
  <c r="D98" i="11" s="1"/>
  <c r="H78" i="11"/>
  <c r="H86" i="11" s="1"/>
  <c r="H88" i="11" s="1"/>
  <c r="H91" i="11" s="1"/>
  <c r="H98" i="11" s="1"/>
  <c r="G64" i="11"/>
  <c r="I105" i="10"/>
  <c r="I129" i="10" s="1"/>
  <c r="H65" i="11" l="1"/>
  <c r="H67" i="11" s="1"/>
  <c r="H70" i="11" s="1"/>
  <c r="H75" i="11" s="1"/>
  <c r="H103" i="11" s="1"/>
  <c r="H104" i="11"/>
  <c r="D65" i="11"/>
  <c r="D104" i="11"/>
  <c r="I65" i="11"/>
  <c r="I67" i="11" s="1"/>
  <c r="I70" i="11" s="1"/>
  <c r="I75" i="11" s="1"/>
  <c r="I103" i="11" s="1"/>
  <c r="I104" i="11"/>
  <c r="F61" i="9"/>
  <c r="F63" i="9" s="1"/>
  <c r="F66" i="9" s="1"/>
  <c r="F71" i="9" s="1"/>
  <c r="F99" i="9" s="1"/>
  <c r="F100" i="9"/>
  <c r="G61" i="9"/>
  <c r="G63" i="9" s="1"/>
  <c r="G66" i="9" s="1"/>
  <c r="G71" i="9" s="1"/>
  <c r="G99" i="9" s="1"/>
  <c r="G100" i="9"/>
  <c r="I61" i="9"/>
  <c r="I63" i="9" s="1"/>
  <c r="I66" i="9" s="1"/>
  <c r="I71" i="9" s="1"/>
  <c r="I99" i="9" s="1"/>
  <c r="I100" i="9"/>
  <c r="G78" i="11"/>
  <c r="G86" i="11" s="1"/>
  <c r="G88" i="11" s="1"/>
  <c r="G91" i="11" s="1"/>
  <c r="G98" i="11" s="1"/>
  <c r="G65" i="11" l="1"/>
  <c r="G67" i="11" s="1"/>
  <c r="G70" i="11" s="1"/>
  <c r="G75" i="11" s="1"/>
  <c r="G103" i="11" s="1"/>
  <c r="G104" i="11"/>
  <c r="G120" i="12"/>
  <c r="G121" i="12" s="1"/>
  <c r="G115" i="12"/>
  <c r="G116" i="12" s="1"/>
  <c r="G126" i="12"/>
  <c r="I126" i="12"/>
  <c r="G114" i="10"/>
  <c r="G115" i="10" s="1"/>
  <c r="G109" i="10"/>
  <c r="G110" i="10" s="1"/>
  <c r="I147" i="2"/>
  <c r="E147" i="2"/>
  <c r="I146" i="2"/>
  <c r="M146" i="2" s="1"/>
  <c r="Q146" i="2" s="1"/>
  <c r="E146" i="2"/>
  <c r="I144" i="2"/>
  <c r="E144" i="2"/>
  <c r="I140" i="2"/>
  <c r="M140" i="2" s="1"/>
  <c r="Q140" i="2" s="1"/>
  <c r="E140" i="2"/>
  <c r="I141" i="2"/>
  <c r="E141" i="2"/>
  <c r="I139" i="2"/>
  <c r="E139" i="2"/>
  <c r="I138" i="2"/>
  <c r="E138" i="2"/>
  <c r="I136" i="2"/>
  <c r="E136" i="2"/>
  <c r="I135" i="2"/>
  <c r="E135" i="2"/>
  <c r="I134" i="2"/>
  <c r="E134" i="2"/>
  <c r="I131" i="2"/>
  <c r="E131" i="2"/>
  <c r="I130" i="2"/>
  <c r="E130" i="2"/>
  <c r="I128" i="2"/>
  <c r="E128" i="2"/>
  <c r="I127" i="2"/>
  <c r="E127" i="2"/>
  <c r="I99" i="2"/>
  <c r="I98" i="2"/>
  <c r="I97" i="2"/>
  <c r="I96" i="2"/>
  <c r="I95" i="2"/>
  <c r="I94" i="2"/>
  <c r="I93" i="2"/>
  <c r="I89" i="2"/>
  <c r="I86" i="2"/>
  <c r="I87" i="2"/>
  <c r="I90" i="2"/>
  <c r="I100" i="2"/>
  <c r="E99" i="2"/>
  <c r="E89" i="2"/>
  <c r="E98" i="2"/>
  <c r="E97" i="2"/>
  <c r="E94" i="2"/>
  <c r="E93" i="2"/>
  <c r="E95" i="2"/>
  <c r="G98" i="2" l="1"/>
  <c r="M98" i="2"/>
  <c r="Q98" i="2" s="1"/>
  <c r="M86" i="2"/>
  <c r="Q86" i="2" s="1"/>
  <c r="M93" i="2"/>
  <c r="Q93" i="2" s="1"/>
  <c r="G93" i="2"/>
  <c r="M89" i="2"/>
  <c r="Q89" i="2" s="1"/>
  <c r="G89" i="2"/>
  <c r="M100" i="2"/>
  <c r="Q100" i="2" s="1"/>
  <c r="M99" i="2"/>
  <c r="Q99" i="2" s="1"/>
  <c r="G99" i="2"/>
  <c r="M94" i="2"/>
  <c r="Q94" i="2" s="1"/>
  <c r="G94" i="2"/>
  <c r="M95" i="2"/>
  <c r="Q95" i="2" s="1"/>
  <c r="G95" i="2"/>
  <c r="M90" i="2"/>
  <c r="Q90" i="2" s="1"/>
  <c r="G96" i="2"/>
  <c r="M96" i="2"/>
  <c r="Q96" i="2" s="1"/>
  <c r="M87" i="2"/>
  <c r="Q87" i="2" s="1"/>
  <c r="G97" i="2"/>
  <c r="M97" i="2"/>
  <c r="Q97" i="2" s="1"/>
  <c r="G146" i="2"/>
  <c r="G147" i="2"/>
  <c r="G123" i="12"/>
  <c r="G125" i="12"/>
  <c r="G127" i="12" s="1"/>
  <c r="G118" i="12"/>
  <c r="G140" i="2"/>
  <c r="G139" i="2"/>
  <c r="E90" i="2"/>
  <c r="G90" i="2" s="1"/>
  <c r="E87" i="2"/>
  <c r="G87" i="2" s="1"/>
  <c r="E100" i="2"/>
  <c r="G100" i="2" s="1"/>
  <c r="E86" i="2"/>
  <c r="G86" i="2" s="1"/>
  <c r="E85" i="2"/>
  <c r="I106" i="2"/>
  <c r="E106" i="2"/>
  <c r="I105" i="2"/>
  <c r="E105" i="2"/>
  <c r="I103" i="2"/>
  <c r="E103" i="2"/>
  <c r="G106" i="2" l="1"/>
  <c r="G105" i="2"/>
  <c r="I51" i="2" l="1"/>
  <c r="I60" i="2"/>
  <c r="I59" i="2"/>
  <c r="E51" i="2"/>
  <c r="I27" i="2"/>
  <c r="I48" i="2" s="1"/>
  <c r="E27" i="2"/>
  <c r="E48" i="2" s="1"/>
  <c r="I41" i="2" l="1"/>
  <c r="I40" i="2"/>
  <c r="E41" i="2"/>
  <c r="E40" i="2"/>
  <c r="I26" i="2" l="1"/>
  <c r="I29" i="2" s="1"/>
  <c r="E26" i="2"/>
  <c r="E29" i="2" s="1"/>
  <c r="G117" i="10"/>
  <c r="I120" i="10"/>
  <c r="G120" i="10"/>
  <c r="I145" i="2"/>
  <c r="I104" i="2"/>
  <c r="E145" i="2"/>
  <c r="E148" i="2" s="1"/>
  <c r="E104" i="2"/>
  <c r="E107" i="2" s="1"/>
  <c r="E22" i="2"/>
  <c r="G145" i="2" l="1"/>
  <c r="G104" i="2"/>
  <c r="G119" i="10"/>
  <c r="G121" i="10" s="1"/>
  <c r="G112" i="10"/>
  <c r="I22" i="2"/>
  <c r="K107" i="2"/>
  <c r="O107" i="2"/>
  <c r="O148" i="2"/>
  <c r="K148" i="2"/>
  <c r="I109" i="10" l="1"/>
  <c r="I110" i="10" s="1"/>
  <c r="I114" i="10"/>
  <c r="I115" i="10" s="1"/>
  <c r="I117" i="10" s="1"/>
  <c r="I115" i="12" l="1"/>
  <c r="I116" i="12" s="1"/>
  <c r="I120" i="12"/>
  <c r="I121" i="12" s="1"/>
  <c r="I123" i="12" s="1"/>
  <c r="I112" i="10"/>
  <c r="I119" i="10"/>
  <c r="I121" i="10" s="1"/>
  <c r="A8" i="13"/>
  <c r="A5" i="13"/>
  <c r="A4" i="13"/>
  <c r="A2" i="13"/>
  <c r="A1" i="13"/>
  <c r="I118" i="12" l="1"/>
  <c r="I125" i="12"/>
  <c r="I127" i="12" s="1"/>
  <c r="I18" i="2"/>
  <c r="I17" i="2"/>
  <c r="I81" i="2" l="1"/>
  <c r="M138" i="2" l="1"/>
  <c r="Q138" i="2" s="1"/>
  <c r="M137" i="2"/>
  <c r="Q137" i="2" s="1"/>
  <c r="E81" i="2"/>
  <c r="G81" i="2" s="1"/>
  <c r="G82" i="2" s="1"/>
  <c r="E18" i="2"/>
  <c r="E17" i="2"/>
  <c r="G137" i="2" l="1"/>
  <c r="G138" i="2"/>
  <c r="A118" i="2" l="1"/>
  <c r="Q116" i="2"/>
  <c r="A116" i="2"/>
  <c r="A114" i="2"/>
  <c r="A113" i="2"/>
  <c r="Q67" i="2"/>
  <c r="A69" i="2"/>
  <c r="A67" i="2"/>
  <c r="A65" i="2"/>
  <c r="A64" i="2"/>
  <c r="M144" i="2"/>
  <c r="Q144" i="2" s="1"/>
  <c r="M134" i="2"/>
  <c r="Q134" i="2" s="1"/>
  <c r="M128" i="2"/>
  <c r="Q128" i="2" s="1"/>
  <c r="M127" i="2"/>
  <c r="Q127" i="2" s="1"/>
  <c r="M147" i="2"/>
  <c r="Q147" i="2" s="1"/>
  <c r="M136" i="2"/>
  <c r="Q136" i="2" s="1"/>
  <c r="M135" i="2"/>
  <c r="Q135" i="2" s="1"/>
  <c r="M141" i="2"/>
  <c r="Q141" i="2" s="1"/>
  <c r="M133" i="2"/>
  <c r="Q133" i="2" s="1"/>
  <c r="M131" i="2"/>
  <c r="Q131" i="2" s="1"/>
  <c r="M130" i="2"/>
  <c r="Q130" i="2" s="1"/>
  <c r="M106" i="2"/>
  <c r="Q106" i="2" s="1"/>
  <c r="M103" i="2"/>
  <c r="Q103" i="2" s="1"/>
  <c r="M85" i="2"/>
  <c r="Q85" i="2" s="1"/>
  <c r="M81" i="2"/>
  <c r="Q81" i="2" s="1"/>
  <c r="Q82" i="2" s="1"/>
  <c r="I82" i="2"/>
  <c r="E82" i="2"/>
  <c r="G144" i="2"/>
  <c r="G134" i="2"/>
  <c r="G128" i="2"/>
  <c r="G103" i="2"/>
  <c r="O30" i="2"/>
  <c r="K30" i="2"/>
  <c r="M26" i="2"/>
  <c r="Q26" i="2" s="1"/>
  <c r="M41" i="2"/>
  <c r="Q41" i="2" s="1"/>
  <c r="M40" i="2"/>
  <c r="Q40" i="2" s="1"/>
  <c r="M51" i="2"/>
  <c r="Q51" i="2" s="1"/>
  <c r="M48" i="2"/>
  <c r="Q48" i="2" s="1"/>
  <c r="G60" i="2"/>
  <c r="G59" i="2"/>
  <c r="G41" i="2"/>
  <c r="G40" i="2"/>
  <c r="M29" i="2"/>
  <c r="Q29" i="2" s="1"/>
  <c r="M18" i="2"/>
  <c r="Q18" i="2" s="1"/>
  <c r="M60" i="2"/>
  <c r="Q60" i="2" s="1"/>
  <c r="M59" i="2"/>
  <c r="Q59" i="2" s="1"/>
  <c r="I47" i="2"/>
  <c r="M47" i="2" s="1"/>
  <c r="Q47" i="2" s="1"/>
  <c r="Q35" i="2"/>
  <c r="O35" i="2"/>
  <c r="M35" i="2"/>
  <c r="K35" i="2"/>
  <c r="I35" i="2"/>
  <c r="G35" i="2"/>
  <c r="M22" i="2"/>
  <c r="Q22" i="2" s="1"/>
  <c r="A18" i="2"/>
  <c r="A19" i="2" s="1"/>
  <c r="A21" i="2" s="1"/>
  <c r="A22" i="2" l="1"/>
  <c r="A23" i="2" s="1"/>
  <c r="A25" i="2" s="1"/>
  <c r="A26" i="2" s="1"/>
  <c r="A27" i="2" s="1"/>
  <c r="A28" i="2" s="1"/>
  <c r="A29" i="2" s="1"/>
  <c r="G133" i="2"/>
  <c r="G130" i="2"/>
  <c r="G141" i="2"/>
  <c r="M82" i="2"/>
  <c r="I148" i="2"/>
  <c r="M104" i="2"/>
  <c r="Q104" i="2" s="1"/>
  <c r="G131" i="2"/>
  <c r="G135" i="2"/>
  <c r="M139" i="2"/>
  <c r="Q139" i="2" s="1"/>
  <c r="M145" i="2"/>
  <c r="Q145" i="2" s="1"/>
  <c r="M105" i="2"/>
  <c r="Q105" i="2" s="1"/>
  <c r="G127" i="2"/>
  <c r="G136" i="2"/>
  <c r="I107" i="2"/>
  <c r="E30" i="2"/>
  <c r="M17" i="2"/>
  <c r="Q17" i="2" s="1"/>
  <c r="Q19" i="2" s="1"/>
  <c r="E47" i="2"/>
  <c r="G47" i="2" s="1"/>
  <c r="G27" i="2"/>
  <c r="M27" i="2"/>
  <c r="Q27" i="2" s="1"/>
  <c r="Q30" i="2" s="1"/>
  <c r="G48" i="2"/>
  <c r="G51" i="2"/>
  <c r="O19" i="2"/>
  <c r="O23" i="2"/>
  <c r="E19" i="2"/>
  <c r="E23" i="2"/>
  <c r="I30" i="2"/>
  <c r="K19" i="2"/>
  <c r="G22" i="2"/>
  <c r="G17" i="2"/>
  <c r="G26" i="2"/>
  <c r="I19" i="2"/>
  <c r="G18" i="2"/>
  <c r="E32" i="2" l="1"/>
  <c r="A30" i="2"/>
  <c r="A32" i="2" s="1"/>
  <c r="A33" i="2" s="1"/>
  <c r="A34" i="2" s="1"/>
  <c r="A35" i="2" s="1"/>
  <c r="A37" i="2" s="1"/>
  <c r="A39" i="2" s="1"/>
  <c r="A40" i="2" s="1"/>
  <c r="A41" i="2" s="1"/>
  <c r="A42" i="2" s="1"/>
  <c r="A44" i="2" s="1"/>
  <c r="A45" i="2" s="1"/>
  <c r="A46" i="2" s="1"/>
  <c r="G148" i="2"/>
  <c r="Q148" i="2"/>
  <c r="M148" i="2"/>
  <c r="M107" i="2"/>
  <c r="Q107" i="2"/>
  <c r="M19" i="2"/>
  <c r="O32" i="2"/>
  <c r="O45" i="2" s="1"/>
  <c r="O52" i="2" s="1"/>
  <c r="O55" i="2" s="1"/>
  <c r="O61" i="2" s="1"/>
  <c r="M30" i="2"/>
  <c r="G19" i="2"/>
  <c r="G29" i="2"/>
  <c r="G30" i="2" s="1"/>
  <c r="A47" i="2" l="1"/>
  <c r="A48" i="2" s="1"/>
  <c r="O33" i="2"/>
  <c r="O34" i="2" s="1"/>
  <c r="O150" i="2"/>
  <c r="K23" i="2"/>
  <c r="K32" i="2" s="1"/>
  <c r="E45" i="2"/>
  <c r="E52" i="2" l="1"/>
  <c r="A49" i="2"/>
  <c r="O37" i="2"/>
  <c r="O42" i="2" s="1"/>
  <c r="K45" i="2"/>
  <c r="K52" i="2" s="1"/>
  <c r="K55" i="2" s="1"/>
  <c r="K61" i="2" s="1"/>
  <c r="E55" i="2" l="1"/>
  <c r="E61" i="2" s="1"/>
  <c r="E150" i="2" s="1"/>
  <c r="O109" i="2"/>
  <c r="O152" i="2" s="1"/>
  <c r="O155" i="2" s="1"/>
  <c r="A50" i="2"/>
  <c r="A51" i="2" s="1"/>
  <c r="A52" i="2" s="1"/>
  <c r="A53" i="2" s="1"/>
  <c r="A55" i="2" s="1"/>
  <c r="A57" i="2" s="1"/>
  <c r="K33" i="2"/>
  <c r="K34" i="2" s="1"/>
  <c r="K150" i="2"/>
  <c r="A58" i="2" l="1"/>
  <c r="A59" i="2" s="1"/>
  <c r="A60" i="2" s="1"/>
  <c r="A61" i="2" s="1"/>
  <c r="A77" i="2" s="1"/>
  <c r="E33" i="2"/>
  <c r="E34" i="2" s="1"/>
  <c r="E37" i="2" s="1"/>
  <c r="E42" i="2" s="1"/>
  <c r="E109" i="2" s="1"/>
  <c r="E152" i="2" s="1"/>
  <c r="K37" i="2"/>
  <c r="K42" i="2" s="1"/>
  <c r="K109" i="2" s="1"/>
  <c r="K152" i="2" s="1"/>
  <c r="K155" i="2" s="1"/>
  <c r="A7" i="2"/>
  <c r="A2" i="2"/>
  <c r="A1" i="2"/>
  <c r="G85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18" i="2" s="1"/>
  <c r="A68" i="2"/>
  <c r="A117" i="2"/>
  <c r="A111" i="2"/>
  <c r="A62" i="2"/>
  <c r="A63" i="2"/>
  <c r="A112" i="2"/>
  <c r="A80" i="2"/>
  <c r="A81" i="2" s="1"/>
  <c r="A82" i="2" s="1"/>
  <c r="A84" i="2" s="1"/>
  <c r="Q69" i="2" l="1"/>
  <c r="G107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I23" i="2"/>
  <c r="I32" i="2" s="1"/>
  <c r="M23" i="2"/>
  <c r="G23" i="2"/>
  <c r="G32" i="2" s="1"/>
  <c r="E155" i="2" l="1"/>
  <c r="G45" i="2"/>
  <c r="G52" i="2" s="1"/>
  <c r="G55" i="2" s="1"/>
  <c r="G61" i="2" s="1"/>
  <c r="I45" i="2"/>
  <c r="I52" i="2" s="1"/>
  <c r="I55" i="2" s="1"/>
  <c r="I61" i="2" s="1"/>
  <c r="I150" i="2" s="1"/>
  <c r="A102" i="2" l="1"/>
  <c r="A103" i="2" s="1"/>
  <c r="A104" i="2" s="1"/>
  <c r="G33" i="2"/>
  <c r="G150" i="2"/>
  <c r="I33" i="2"/>
  <c r="I34" i="2" s="1"/>
  <c r="Q23" i="2"/>
  <c r="Q32" i="2" s="1"/>
  <c r="M32" i="2"/>
  <c r="M45" i="2" s="1"/>
  <c r="M52" i="2" s="1"/>
  <c r="M55" i="2" s="1"/>
  <c r="M61" i="2" s="1"/>
  <c r="A109" i="2" l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G34" i="2"/>
  <c r="I37" i="2"/>
  <c r="I42" i="2" s="1"/>
  <c r="I109" i="2" s="1"/>
  <c r="I152" i="2" s="1"/>
  <c r="I155" i="2" s="1"/>
  <c r="M33" i="2"/>
  <c r="M34" i="2" s="1"/>
  <c r="M150" i="2"/>
  <c r="Q45" i="2"/>
  <c r="Q52" i="2" s="1"/>
  <c r="Q55" i="2" s="1"/>
  <c r="Q61" i="2" s="1"/>
  <c r="G37" i="2" l="1"/>
  <c r="G42" i="2" s="1"/>
  <c r="G109" i="2" s="1"/>
  <c r="G152" i="2" s="1"/>
  <c r="G155" i="2" s="1"/>
  <c r="M37" i="2"/>
  <c r="M42" i="2" s="1"/>
  <c r="M109" i="2" s="1"/>
  <c r="M152" i="2" s="1"/>
  <c r="M155" i="2" s="1"/>
  <c r="Q33" i="2"/>
  <c r="Q34" i="2" s="1"/>
  <c r="Q150" i="2"/>
  <c r="Q37" i="2" l="1"/>
  <c r="Q42" i="2" s="1"/>
  <c r="Q109" i="2" s="1"/>
  <c r="Q152" i="2" s="1"/>
  <c r="Q155" i="2" s="1"/>
  <c r="A143" i="2" l="1"/>
  <c r="A144" i="2" s="1"/>
  <c r="A145" i="2" s="1"/>
  <c r="A146" i="2" s="1"/>
  <c r="A147" i="2" l="1"/>
  <c r="A148" i="2" s="1"/>
  <c r="A150" i="2" s="1"/>
  <c r="A152" i="2" s="1"/>
  <c r="C84" i="9" l="1"/>
  <c r="C87" i="9" s="1"/>
  <c r="C94" i="9" s="1"/>
  <c r="C61" i="9" l="1"/>
  <c r="C63" i="9" s="1"/>
  <c r="C66" i="9" s="1"/>
  <c r="C71" i="9" s="1"/>
  <c r="C99" i="9" s="1"/>
  <c r="C100" i="9"/>
</calcChain>
</file>

<file path=xl/sharedStrings.xml><?xml version="1.0" encoding="utf-8"?>
<sst xmlns="http://schemas.openxmlformats.org/spreadsheetml/2006/main" count="741" uniqueCount="260">
  <si>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</si>
  <si>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</si>
  <si>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</si>
  <si>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</si>
  <si>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</si>
  <si>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</si>
  <si>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</si>
  <si>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</si>
  <si>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</si>
  <si>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</si>
  <si>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</si>
  <si>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</si>
  <si>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</si>
  <si>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</si>
  <si>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</si>
  <si>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</si>
  <si>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</si>
  <si>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</si>
  <si>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</si>
  <si>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</si>
  <si>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</si>
  <si>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</si>
  <si>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</si>
  <si>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</si>
  <si>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</si>
  <si>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</si>
  <si>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</si>
  <si>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</si>
  <si>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</si>
  <si>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</si>
  <si>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</si>
  <si>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</si>
  <si>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</si>
  <si>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</si>
  <si>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</si>
  <si>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</si>
  <si>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</si>
  <si>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</si>
  <si>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</si>
  <si>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</si>
  <si>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</si>
  <si>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</si>
  <si>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</si>
  <si>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</si>
  <si>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</si>
  <si>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</si>
  <si>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</si>
  <si>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</si>
  <si>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</si>
  <si>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</si>
  <si>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</si>
  <si>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</si>
  <si>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</si>
  <si>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</si>
  <si>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</si>
  <si>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</si>
  <si>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</si>
  <si>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</si>
  <si>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</si>
  <si>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</si>
  <si>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</si>
  <si>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</si>
  <si>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</si>
  <si>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</si>
  <si>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</si>
  <si>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</si>
  <si>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</si>
  <si>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</si>
  <si>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</si>
  <si>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</si>
  <si>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</si>
  <si>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</si>
  <si>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</si>
  <si>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</si>
  <si>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</si>
  <si>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</si>
  <si>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</si>
  <si>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</si>
  <si>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</si>
  <si>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</si>
  <si>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</si>
  <si>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</si>
  <si>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</si>
  <si>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</si>
  <si>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</si>
  <si>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</si>
  <si>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</si>
  <si>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</si>
  <si>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</si>
  <si>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</si>
  <si>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</si>
  <si>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</si>
  <si>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</si>
  <si>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</si>
  <si>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</si>
  <si>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</si>
  <si>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</si>
  <si>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</si>
  <si>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</si>
  <si>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</si>
  <si>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</si>
  <si>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</si>
  <si>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</si>
  <si>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</si>
  <si>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</si>
  <si>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</si>
  <si>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</si>
  <si>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</si>
  <si>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</si>
  <si>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</si>
  <si>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</si>
  <si>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</si>
  <si>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</si>
  <si>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</si>
  <si>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</si>
  <si>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</si>
  <si>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</si>
  <si>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</si>
  <si>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</si>
  <si>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</si>
  <si>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</si>
  <si>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</si>
  <si>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</si>
  <si>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</si>
  <si>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</si>
  <si>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</si>
  <si>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</si>
  <si>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</si>
  <si>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</si>
  <si>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LOUISVILLE GAS AND ELECTRIC COMPANY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</si>
  <si>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</si>
  <si>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</si>
  <si>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</si>
  <si>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</si>
  <si>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</si>
  <si>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</si>
  <si>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</si>
  <si>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</si>
  <si>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</si>
  <si>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</si>
  <si>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</si>
  <si>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</si>
  <si>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</si>
  <si>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</si>
  <si>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</si>
  <si>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</si>
  <si>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</si>
  <si>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</si>
  <si>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</si>
  <si>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FAS 106 Cost Write-Off (Post Retirement)</t>
  </si>
  <si>
    <t>FAS 87 Pensions</t>
  </si>
  <si>
    <t>Interest Capitalized - Federal</t>
  </si>
  <si>
    <t>Interest Rate Swaps</t>
  </si>
  <si>
    <t>Interest Rate Swaps - Reg Asset</t>
  </si>
  <si>
    <t>Pensions - Regulatory Asset</t>
  </si>
  <si>
    <t>Post Retirement Ben - Regulatory Asset</t>
  </si>
  <si>
    <t>Purchased Gas Adjustment - Current</t>
  </si>
  <si>
    <t>R&amp;D Regulatory Asset</t>
  </si>
  <si>
    <t>Contributions In Aid of Const. &amp; Capitalized Interest</t>
  </si>
  <si>
    <t>Tax Gain/Loss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</si>
  <si>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</si>
  <si>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</si>
  <si>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</si>
  <si>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</si>
  <si>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</si>
  <si>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</si>
  <si>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Tax Depreciation - Federal</t>
  </si>
  <si>
    <t>TAX REPAIR EXPENSING</t>
  </si>
  <si>
    <t xml:space="preserve">   Credit Utilization</t>
  </si>
  <si>
    <t>Tax Depreciation - State</t>
  </si>
  <si>
    <t>Federal Tax Depreciation</t>
  </si>
  <si>
    <t>Tax Repair Expensing</t>
  </si>
  <si>
    <t>LN 1-2</t>
  </si>
  <si>
    <t>ADJUSTED GAS</t>
  </si>
  <si>
    <t>COMPUTATION OF FEDERAL AND STATE INCOME TAX - GAS</t>
  </si>
  <si>
    <t>Schedule C-2.1</t>
  </si>
  <si>
    <t>LN 30 x 31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</si>
  <si>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</si>
  <si>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</si>
  <si>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</si>
  <si>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</si>
  <si>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</si>
  <si>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</si>
  <si>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</si>
  <si>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</si>
  <si>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</si>
  <si>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</si>
  <si>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</si>
  <si>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</si>
  <si>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</si>
  <si>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</si>
  <si>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</si>
  <si>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2020-00350 - GAS OPERATIONS</t>
  </si>
  <si>
    <t>CASE NO. 2020-00350</t>
  </si>
  <si>
    <t>CMRG Regulatory Asset</t>
  </si>
  <si>
    <t>Refined Coal - KY - Reg Liab</t>
  </si>
  <si>
    <t>Tax Gain/Loss - Federal</t>
  </si>
  <si>
    <t>Deferred Payroll Taxes</t>
  </si>
  <si>
    <t>481(a) adjustment for 451(b) 3115</t>
  </si>
  <si>
    <t xml:space="preserve">Plant Outage Normalization - Reg Asset </t>
  </si>
  <si>
    <t>Non-Deductible Penalties</t>
  </si>
  <si>
    <t xml:space="preserve">    Addback Tax/Gain Loss Federal</t>
  </si>
  <si>
    <t xml:space="preserve">    Tax Gain/Loss - State</t>
  </si>
  <si>
    <t xml:space="preserve">    Kentucky Inventory Property Tax Credit</t>
  </si>
  <si>
    <t>Excess Deferreds - Non plant unprotected</t>
  </si>
  <si>
    <t>Tax Gain/Loss - State</t>
  </si>
  <si>
    <t>AFUDC Equity</t>
  </si>
  <si>
    <t>2018 Winter Storm Damages</t>
  </si>
  <si>
    <t xml:space="preserve">    Addback Tax Gain/Loss Federal</t>
  </si>
  <si>
    <t>Excess Deferreds - Non plant unprotected - Surcredit</t>
  </si>
  <si>
    <t>LN 5</t>
  </si>
  <si>
    <t>LN 3+6+12</t>
  </si>
  <si>
    <t>LN 38</t>
  </si>
  <si>
    <t>LN 13+14</t>
  </si>
  <si>
    <t>LN 15 x 16</t>
  </si>
  <si>
    <t>SUM LN 17-20</t>
  </si>
  <si>
    <t>LN 13</t>
  </si>
  <si>
    <t>SUM LN 23-29</t>
  </si>
  <si>
    <t>AFUDC-DEBT AMI</t>
  </si>
  <si>
    <t>AMI O&amp;M Regulatory Asset</t>
  </si>
  <si>
    <t>Excess Deferred Tax  Amortization</t>
  </si>
  <si>
    <t>($000s)</t>
  </si>
  <si>
    <t>YE FEB-21</t>
  </si>
  <si>
    <t>YE JUN-22</t>
  </si>
  <si>
    <t>LG&amp;E ECR</t>
  </si>
  <si>
    <t>LG&amp;E ECR 2009 &amp; 2011  Plan</t>
  </si>
  <si>
    <t>Federal</t>
  </si>
  <si>
    <t>State</t>
  </si>
  <si>
    <t>Total LG&amp;E ECR 2009 &amp; 2011 Plan</t>
  </si>
  <si>
    <t>LG&amp;E ECR 2009 Plan NT</t>
  </si>
  <si>
    <t>Total LG&amp;E ECR 2009 Plan NT</t>
  </si>
  <si>
    <t>LG&amp;E ECR 2016 Plan</t>
  </si>
  <si>
    <t>Total LG&amp;E ECR 2016 Plan</t>
  </si>
  <si>
    <t>LG&amp;E ECR 2016 Plan NT</t>
  </si>
  <si>
    <t>Total LG&amp;E ECR 2016 Plan NT</t>
  </si>
  <si>
    <t>LG&amp;E CCR ARO 2016 Plan</t>
  </si>
  <si>
    <t>Active Ponds</t>
  </si>
  <si>
    <t>Total Active Ponds</t>
  </si>
  <si>
    <t>Retired Ponds</t>
  </si>
  <si>
    <t>Total Retired Ponds</t>
  </si>
  <si>
    <t>Total LG&amp;E CCR ARO 2016 Plan</t>
  </si>
  <si>
    <t>Total Excess Deferred LG&amp;E ECR</t>
  </si>
  <si>
    <t>LG&amp;E DSM</t>
  </si>
  <si>
    <t>Total LG&amp;E DSM</t>
  </si>
  <si>
    <t>LG&amp;E GLT</t>
  </si>
  <si>
    <t>Total LG&amp;E GLT</t>
  </si>
  <si>
    <t>Other Regulatory Liabilities</t>
  </si>
  <si>
    <t>SUM LN 8-11</t>
  </si>
  <si>
    <t>LN 40</t>
  </si>
  <si>
    <t>SUM LN 32-36</t>
  </si>
  <si>
    <t>Right of Use</t>
  </si>
  <si>
    <t>Right of Use - Liabilities</t>
  </si>
  <si>
    <t>Right of Use - Assets</t>
  </si>
  <si>
    <t>Excess Deferreds - Plant Related</t>
  </si>
  <si>
    <t>Excess Deferreds - Non plant</t>
  </si>
  <si>
    <t>SUM LN 43-63</t>
  </si>
  <si>
    <t>LN 21+64</t>
  </si>
  <si>
    <t>SUM LN 67-86</t>
  </si>
  <si>
    <t>LN 37+87</t>
  </si>
  <si>
    <t>LN 41+65+88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</si>
</sst>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  <numFmt numFmtId="189" formatCode="#,##0.000_);\(#,##0.000\)"/>
    <numFmt numFmtId="190" formatCode="_(&quot;$&quot;* #,##0_);_(&quot;$&quot;* \(#,##0\);_(&quot;$&quot;* &quot;-&quot;??_);_(@_)"/>
    <numFmt numFmtId="191" formatCode="_(&quot;$&quot;* #,##0.00_);_(&quot;$&quot;* \(#,##0.00\);_(&quot;$&quot;* &quot;-&quot;_);_(@_)"/>
  </numFmts>
  <fonts count="184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  <family val="2"/>
    </font>
    <font>
      <sz val="10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171" fontId="2" fillId="0" borderId="0" xfId="62016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71" fontId="2" fillId="0" borderId="47" xfId="62016" applyNumberFormat="1" applyFont="1" applyFill="1" applyBorder="1"/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37" fontId="2" fillId="0" borderId="0" xfId="3" applyFont="1" applyFill="1" applyAlignment="1">
      <alignment horizontal="center"/>
    </xf>
    <xf numFmtId="171" fontId="5" fillId="0" borderId="0" xfId="62016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186" fontId="54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2" fillId="0" borderId="48" xfId="62016" applyNumberFormat="1" applyFont="1" applyFill="1" applyBorder="1"/>
    <xf numFmtId="0" fontId="2" fillId="0" borderId="0" xfId="138" applyFont="1" applyFill="1" applyAlignment="1">
      <alignment horizontal="left"/>
    </xf>
    <xf numFmtId="0" fontId="2" fillId="0" borderId="0" xfId="138" applyFont="1" applyFill="1"/>
    <xf numFmtId="189" fontId="1" fillId="0" borderId="0" xfId="3" applyNumberFormat="1" applyFill="1"/>
    <xf numFmtId="190" fontId="0" fillId="0" borderId="0" xfId="0" applyNumberFormat="1" applyFill="1"/>
    <xf numFmtId="41" fontId="0" fillId="0" borderId="3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42" fontId="0" fillId="0" borderId="0" xfId="0" applyNumberFormat="1" applyFill="1"/>
    <xf numFmtId="42" fontId="0" fillId="0" borderId="2" xfId="0" applyNumberFormat="1" applyFill="1" applyBorder="1"/>
    <xf numFmtId="0" fontId="0" fillId="0" borderId="0" xfId="0" applyFill="1"/>
    <xf numFmtId="42" fontId="0" fillId="0" borderId="3" xfId="0" applyNumberFormat="1" applyFill="1" applyBorder="1"/>
    <xf numFmtId="44" fontId="183" fillId="0" borderId="0" xfId="0" applyNumberFormat="1" applyFont="1" applyFill="1"/>
    <xf numFmtId="42" fontId="0" fillId="0" borderId="48" xfId="0" applyNumberFormat="1" applyFill="1" applyBorder="1"/>
    <xf numFmtId="191" fontId="0" fillId="0" borderId="47" xfId="0" applyNumberFormat="1" applyFill="1" applyBorder="1"/>
    <xf numFmtId="37" fontId="2" fillId="0" borderId="0" xfId="3" applyFont="1" applyFill="1" applyAlignment="1">
      <alignment horizontal="center"/>
    </xf>
    <xf numFmtId="0" fontId="2" fillId="0" borderId="0" xfId="50249" applyFill="1" applyAlignment="1">
      <alignment horizontal="left"/>
    </xf>
    <xf numFmtId="0" fontId="17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91" fontId="0" fillId="0" borderId="48" xfId="0" applyNumberFormat="1" applyFill="1" applyBorder="1"/>
    <xf numFmtId="42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Fill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42" t="s">
        <v>129</v>
      </c>
      <c r="B1" s="142"/>
      <c r="C1" s="142"/>
    </row>
    <row r="2" spans="1:3" ht="15.75">
      <c r="A2" s="142" t="s">
        <v>15</v>
      </c>
      <c r="B2" s="142"/>
      <c r="C2" s="142"/>
    </row>
    <row r="3" spans="1:3" ht="15.75">
      <c r="A3" s="142" t="s">
        <v>177</v>
      </c>
      <c r="B3" s="142"/>
      <c r="C3" s="142"/>
    </row>
    <row r="8" spans="1:3">
      <c r="A8" s="24" t="s">
        <v>16</v>
      </c>
    </row>
    <row r="9" spans="1:3">
      <c r="A9" s="23" t="s">
        <v>17</v>
      </c>
      <c r="C9" s="25" t="s">
        <v>129</v>
      </c>
    </row>
    <row r="10" spans="1:3">
      <c r="A10" s="23" t="s">
        <v>18</v>
      </c>
      <c r="C10" s="104" t="s">
        <v>192</v>
      </c>
    </row>
    <row r="11" spans="1:3">
      <c r="A11" s="23" t="s">
        <v>19</v>
      </c>
      <c r="C11" s="104" t="s">
        <v>178</v>
      </c>
    </row>
    <row r="12" spans="1:3">
      <c r="C12" s="104" t="s">
        <v>179</v>
      </c>
    </row>
    <row r="13" spans="1:3">
      <c r="C13" s="104" t="s">
        <v>180</v>
      </c>
    </row>
    <row r="14" spans="1:3">
      <c r="C14" s="104" t="s">
        <v>181</v>
      </c>
    </row>
    <row r="15" spans="1:3">
      <c r="C15" s="104" t="s">
        <v>182</v>
      </c>
    </row>
    <row r="16" spans="1:3">
      <c r="C16" s="104" t="s">
        <v>183</v>
      </c>
    </row>
    <row r="17" spans="1:3">
      <c r="A17" s="23" t="s">
        <v>20</v>
      </c>
      <c r="C17" s="105" t="s">
        <v>184</v>
      </c>
    </row>
    <row r="18" spans="1:3">
      <c r="C18" s="104" t="s">
        <v>185</v>
      </c>
    </row>
    <row r="19" spans="1:3">
      <c r="C19" s="104" t="s">
        <v>186</v>
      </c>
    </row>
    <row r="20" spans="1:3">
      <c r="C20" s="104" t="s">
        <v>187</v>
      </c>
    </row>
    <row r="21" spans="1:3">
      <c r="C21" s="104" t="s">
        <v>188</v>
      </c>
    </row>
    <row r="22" spans="1:3">
      <c r="C22" s="104" t="s">
        <v>189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141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61A9-C16C-4206-BE04-D2B20988D7E1}">
  <dimension ref="A1:AI56"/>
  <sheetViews>
    <sheetView zoomScale="90" zoomScaleNormal="90" workbookViewId="0"/>
  </sheetViews>
  <sheetFormatPr defaultRowHeight="15"/>
  <cols>
    <col min="1" max="1" width="29.5703125" style="128" customWidth="1"/>
    <col min="2" max="8" width="10.42578125" style="128" bestFit="1" customWidth="1"/>
    <col min="9" max="11" width="11.5703125" style="128" bestFit="1" customWidth="1"/>
    <col min="12" max="13" width="10.42578125" style="128" bestFit="1" customWidth="1"/>
    <col min="14" max="14" width="12.85546875" style="128" bestFit="1" customWidth="1"/>
    <col min="15" max="21" width="10.42578125" style="128" bestFit="1" customWidth="1"/>
    <col min="22" max="24" width="11.5703125" style="128" bestFit="1" customWidth="1"/>
    <col min="25" max="30" width="10.42578125" style="128" bestFit="1" customWidth="1"/>
    <col min="31" max="31" width="12.85546875" style="128" bestFit="1" customWidth="1"/>
    <col min="32" max="35" width="9.7109375" style="128" bestFit="1" customWidth="1"/>
    <col min="36" max="16384" width="9.140625" style="128"/>
  </cols>
  <sheetData>
    <row r="1" spans="1:35">
      <c r="A1" s="135" t="s">
        <v>220</v>
      </c>
    </row>
    <row r="2" spans="1:35">
      <c r="A2" s="128" t="s">
        <v>221</v>
      </c>
      <c r="B2" s="136">
        <v>43921</v>
      </c>
      <c r="C2" s="136">
        <f>EOMONTH(B2,1)</f>
        <v>43951</v>
      </c>
      <c r="D2" s="136">
        <f t="shared" ref="D2:AD2" si="0">EOMONTH(C2,1)</f>
        <v>43982</v>
      </c>
      <c r="E2" s="136">
        <f t="shared" si="0"/>
        <v>44012</v>
      </c>
      <c r="F2" s="136">
        <f t="shared" si="0"/>
        <v>44043</v>
      </c>
      <c r="G2" s="136">
        <f t="shared" si="0"/>
        <v>44074</v>
      </c>
      <c r="H2" s="136">
        <f t="shared" si="0"/>
        <v>44104</v>
      </c>
      <c r="I2" s="136">
        <f t="shared" si="0"/>
        <v>44135</v>
      </c>
      <c r="J2" s="136">
        <f t="shared" si="0"/>
        <v>44165</v>
      </c>
      <c r="K2" s="136">
        <f t="shared" si="0"/>
        <v>44196</v>
      </c>
      <c r="L2" s="136">
        <f t="shared" si="0"/>
        <v>44227</v>
      </c>
      <c r="M2" s="136">
        <f t="shared" si="0"/>
        <v>44255</v>
      </c>
      <c r="N2" s="136" t="s">
        <v>222</v>
      </c>
      <c r="O2" s="136">
        <f>EOMONTH(M2,1)</f>
        <v>44286</v>
      </c>
      <c r="P2" s="136">
        <f t="shared" si="0"/>
        <v>44316</v>
      </c>
      <c r="Q2" s="136">
        <f t="shared" si="0"/>
        <v>44347</v>
      </c>
      <c r="R2" s="136">
        <f t="shared" si="0"/>
        <v>44377</v>
      </c>
      <c r="S2" s="136">
        <f t="shared" si="0"/>
        <v>44408</v>
      </c>
      <c r="T2" s="136">
        <f t="shared" si="0"/>
        <v>44439</v>
      </c>
      <c r="U2" s="136">
        <f t="shared" si="0"/>
        <v>44469</v>
      </c>
      <c r="V2" s="136">
        <f t="shared" si="0"/>
        <v>44500</v>
      </c>
      <c r="W2" s="136">
        <f t="shared" si="0"/>
        <v>44530</v>
      </c>
      <c r="X2" s="136">
        <f t="shared" si="0"/>
        <v>44561</v>
      </c>
      <c r="Y2" s="136">
        <f t="shared" si="0"/>
        <v>44592</v>
      </c>
      <c r="Z2" s="136">
        <f t="shared" si="0"/>
        <v>44620</v>
      </c>
      <c r="AA2" s="136">
        <f t="shared" si="0"/>
        <v>44651</v>
      </c>
      <c r="AB2" s="136">
        <f t="shared" si="0"/>
        <v>44681</v>
      </c>
      <c r="AC2" s="136">
        <f t="shared" si="0"/>
        <v>44712</v>
      </c>
      <c r="AD2" s="136">
        <f t="shared" si="0"/>
        <v>44742</v>
      </c>
      <c r="AE2" s="136" t="s">
        <v>223</v>
      </c>
      <c r="AF2" s="136"/>
      <c r="AG2" s="136"/>
      <c r="AH2" s="136"/>
      <c r="AI2" s="136"/>
    </row>
    <row r="3" spans="1:35">
      <c r="A3" s="135" t="s">
        <v>224</v>
      </c>
    </row>
    <row r="4" spans="1:35">
      <c r="A4" s="128" t="s">
        <v>225</v>
      </c>
    </row>
    <row r="5" spans="1:35">
      <c r="A5" s="128" t="s">
        <v>226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-114.7048523140669</v>
      </c>
      <c r="H5" s="126">
        <v>-114.7048523140669</v>
      </c>
      <c r="I5" s="126">
        <v>-114.7048523140669</v>
      </c>
      <c r="J5" s="126">
        <v>-114.7048523140669</v>
      </c>
      <c r="K5" s="126">
        <v>-114.7048523140669</v>
      </c>
      <c r="L5" s="126">
        <v>-374.98069671743247</v>
      </c>
      <c r="M5" s="126">
        <v>-374.98069671743247</v>
      </c>
      <c r="N5" s="122">
        <f>SUM(B5:M5)*1000</f>
        <v>-1323485.6550051996</v>
      </c>
      <c r="O5" s="126">
        <v>-374.98069671743247</v>
      </c>
      <c r="P5" s="126">
        <v>-374.98069671743247</v>
      </c>
      <c r="Q5" s="126">
        <v>-374.98069671743247</v>
      </c>
      <c r="R5" s="126">
        <v>-374.98069671743247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2">
        <f>SUM(S5:AD5)*1000</f>
        <v>0</v>
      </c>
    </row>
    <row r="6" spans="1:35">
      <c r="A6" s="128" t="s">
        <v>227</v>
      </c>
      <c r="B6" s="123">
        <v>0</v>
      </c>
      <c r="C6" s="123">
        <v>0</v>
      </c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-2.8345651832148917</v>
      </c>
      <c r="M6" s="123">
        <v>-2.8345651832148917</v>
      </c>
      <c r="N6" s="123">
        <f t="shared" ref="N6:N50" si="1">SUM(B6:M6)*1000</f>
        <v>-5669.130366429783</v>
      </c>
      <c r="O6" s="123">
        <v>-2.8345651832148917</v>
      </c>
      <c r="P6" s="123">
        <v>-2.8345651832148917</v>
      </c>
      <c r="Q6" s="123">
        <v>-2.8345651832148917</v>
      </c>
      <c r="R6" s="123">
        <v>-2.8345651832148917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>
        <f t="shared" ref="AE6:AE50" si="2">SUM(S6:AD6)*1000</f>
        <v>0</v>
      </c>
    </row>
    <row r="7" spans="1:35">
      <c r="A7" s="128" t="s">
        <v>228</v>
      </c>
      <c r="B7" s="127">
        <f>SUM(B5:B6)</f>
        <v>0</v>
      </c>
      <c r="C7" s="124">
        <f t="shared" ref="C7:AD7" si="3">SUM(C5:C6)</f>
        <v>0</v>
      </c>
      <c r="D7" s="124">
        <f t="shared" si="3"/>
        <v>0</v>
      </c>
      <c r="E7" s="124">
        <f t="shared" si="3"/>
        <v>0</v>
      </c>
      <c r="F7" s="124">
        <f t="shared" si="3"/>
        <v>0</v>
      </c>
      <c r="G7" s="124">
        <f t="shared" si="3"/>
        <v>-114.7048523140669</v>
      </c>
      <c r="H7" s="124">
        <f t="shared" si="3"/>
        <v>-114.7048523140669</v>
      </c>
      <c r="I7" s="124">
        <f t="shared" si="3"/>
        <v>-114.7048523140669</v>
      </c>
      <c r="J7" s="124">
        <f t="shared" si="3"/>
        <v>-114.7048523140669</v>
      </c>
      <c r="K7" s="124">
        <f t="shared" si="3"/>
        <v>-114.7048523140669</v>
      </c>
      <c r="L7" s="124">
        <f t="shared" si="3"/>
        <v>-377.81526190064733</v>
      </c>
      <c r="M7" s="124">
        <f t="shared" si="3"/>
        <v>-377.81526190064733</v>
      </c>
      <c r="N7" s="124">
        <f t="shared" si="1"/>
        <v>-1329154.7853716293</v>
      </c>
      <c r="O7" s="124">
        <f t="shared" si="3"/>
        <v>-377.81526190064733</v>
      </c>
      <c r="P7" s="124">
        <f t="shared" si="3"/>
        <v>-377.81526190064733</v>
      </c>
      <c r="Q7" s="124">
        <f t="shared" si="3"/>
        <v>-377.81526190064733</v>
      </c>
      <c r="R7" s="124">
        <f t="shared" si="3"/>
        <v>-377.81526190064733</v>
      </c>
      <c r="S7" s="124">
        <f t="shared" si="3"/>
        <v>0</v>
      </c>
      <c r="T7" s="124">
        <f t="shared" si="3"/>
        <v>0</v>
      </c>
      <c r="U7" s="124">
        <f t="shared" si="3"/>
        <v>0</v>
      </c>
      <c r="V7" s="124">
        <f t="shared" si="3"/>
        <v>0</v>
      </c>
      <c r="W7" s="124">
        <f t="shared" si="3"/>
        <v>0</v>
      </c>
      <c r="X7" s="124">
        <f t="shared" si="3"/>
        <v>0</v>
      </c>
      <c r="Y7" s="124">
        <f t="shared" si="3"/>
        <v>0</v>
      </c>
      <c r="Z7" s="124">
        <f t="shared" si="3"/>
        <v>0</v>
      </c>
      <c r="AA7" s="124">
        <f t="shared" si="3"/>
        <v>0</v>
      </c>
      <c r="AB7" s="124">
        <f t="shared" si="3"/>
        <v>0</v>
      </c>
      <c r="AC7" s="124">
        <f t="shared" si="3"/>
        <v>0</v>
      </c>
      <c r="AD7" s="124">
        <f t="shared" si="3"/>
        <v>0</v>
      </c>
      <c r="AE7" s="124">
        <f t="shared" si="2"/>
        <v>0</v>
      </c>
    </row>
    <row r="8" spans="1:35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5">
      <c r="A9" s="128" t="s">
        <v>229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5">
      <c r="A10" s="128" t="s">
        <v>226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-1.6385352560767903</v>
      </c>
      <c r="H10" s="126">
        <v>-1.6385352560767903</v>
      </c>
      <c r="I10" s="126">
        <v>-1.6385352560767903</v>
      </c>
      <c r="J10" s="126">
        <v>-1.6385352560767903</v>
      </c>
      <c r="K10" s="126">
        <v>-1.6385352560767903</v>
      </c>
      <c r="L10" s="126">
        <v>-1.2153422512329877</v>
      </c>
      <c r="M10" s="126">
        <v>-1.2153422512329877</v>
      </c>
      <c r="N10" s="126">
        <f t="shared" si="1"/>
        <v>-10623.360782849926</v>
      </c>
      <c r="O10" s="126">
        <v>-1.2153422512329877</v>
      </c>
      <c r="P10" s="126">
        <v>-1.2153422512329877</v>
      </c>
      <c r="Q10" s="126">
        <v>-1.2153422512329877</v>
      </c>
      <c r="R10" s="126">
        <v>-1.2153422512329877</v>
      </c>
      <c r="S10" s="126">
        <v>-1.2153422512329877</v>
      </c>
      <c r="T10" s="126">
        <v>-1.2153422512329877</v>
      </c>
      <c r="U10" s="126">
        <v>-1.2153422512329877</v>
      </c>
      <c r="V10" s="126">
        <v>-1.2153422512329877</v>
      </c>
      <c r="W10" s="126">
        <v>-1.2153422512329877</v>
      </c>
      <c r="X10" s="126">
        <v>-1.2153422512329877</v>
      </c>
      <c r="Y10" s="126">
        <v>-1.5644973905831805</v>
      </c>
      <c r="Z10" s="126">
        <v>-1.5644973905831805</v>
      </c>
      <c r="AA10" s="126">
        <v>-1.5644973905831805</v>
      </c>
      <c r="AB10" s="126">
        <v>-1.5644973905831805</v>
      </c>
      <c r="AC10" s="126">
        <v>-1.5644973905831805</v>
      </c>
      <c r="AD10" s="126">
        <v>-1.5644973905831805</v>
      </c>
      <c r="AE10" s="126">
        <f t="shared" si="2"/>
        <v>-16679.03785089701</v>
      </c>
    </row>
    <row r="11" spans="1:35">
      <c r="A11" s="128" t="s">
        <v>227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f t="shared" si="1"/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f t="shared" si="2"/>
        <v>0</v>
      </c>
    </row>
    <row r="12" spans="1:35">
      <c r="A12" s="128" t="s">
        <v>230</v>
      </c>
      <c r="B12" s="127">
        <f>SUM(B10:B11)</f>
        <v>0</v>
      </c>
      <c r="C12" s="127">
        <f t="shared" ref="C12:AD12" si="4">SUM(C10:C11)</f>
        <v>0</v>
      </c>
      <c r="D12" s="127">
        <f t="shared" si="4"/>
        <v>0</v>
      </c>
      <c r="E12" s="127">
        <f t="shared" si="4"/>
        <v>0</v>
      </c>
      <c r="F12" s="127">
        <f t="shared" si="4"/>
        <v>0</v>
      </c>
      <c r="G12" s="127">
        <f t="shared" si="4"/>
        <v>-1.6385352560767903</v>
      </c>
      <c r="H12" s="127">
        <f t="shared" si="4"/>
        <v>-1.6385352560767903</v>
      </c>
      <c r="I12" s="127">
        <f t="shared" si="4"/>
        <v>-1.6385352560767903</v>
      </c>
      <c r="J12" s="127">
        <f t="shared" si="4"/>
        <v>-1.6385352560767903</v>
      </c>
      <c r="K12" s="127">
        <f t="shared" si="4"/>
        <v>-1.6385352560767903</v>
      </c>
      <c r="L12" s="127">
        <f t="shared" si="4"/>
        <v>-1.2153422512329877</v>
      </c>
      <c r="M12" s="127">
        <f t="shared" si="4"/>
        <v>-1.2153422512329877</v>
      </c>
      <c r="N12" s="127">
        <f t="shared" si="1"/>
        <v>-10623.360782849926</v>
      </c>
      <c r="O12" s="127">
        <f t="shared" si="4"/>
        <v>-1.2153422512329877</v>
      </c>
      <c r="P12" s="127">
        <f t="shared" si="4"/>
        <v>-1.2153422512329877</v>
      </c>
      <c r="Q12" s="127">
        <f t="shared" si="4"/>
        <v>-1.2153422512329877</v>
      </c>
      <c r="R12" s="127">
        <f t="shared" si="4"/>
        <v>-1.2153422512329877</v>
      </c>
      <c r="S12" s="127">
        <f t="shared" si="4"/>
        <v>-1.2153422512329877</v>
      </c>
      <c r="T12" s="127">
        <f t="shared" si="4"/>
        <v>-1.2153422512329877</v>
      </c>
      <c r="U12" s="127">
        <f t="shared" si="4"/>
        <v>-1.2153422512329877</v>
      </c>
      <c r="V12" s="127">
        <f t="shared" si="4"/>
        <v>-1.2153422512329877</v>
      </c>
      <c r="W12" s="127">
        <f t="shared" si="4"/>
        <v>-1.2153422512329877</v>
      </c>
      <c r="X12" s="127">
        <f t="shared" si="4"/>
        <v>-1.2153422512329877</v>
      </c>
      <c r="Y12" s="127">
        <f t="shared" si="4"/>
        <v>-1.5644973905831805</v>
      </c>
      <c r="Z12" s="127">
        <f t="shared" si="4"/>
        <v>-1.5644973905831805</v>
      </c>
      <c r="AA12" s="127">
        <f t="shared" si="4"/>
        <v>-1.5644973905831805</v>
      </c>
      <c r="AB12" s="127">
        <f t="shared" si="4"/>
        <v>-1.5644973905831805</v>
      </c>
      <c r="AC12" s="127">
        <f t="shared" si="4"/>
        <v>-1.5644973905831805</v>
      </c>
      <c r="AD12" s="127">
        <f t="shared" si="4"/>
        <v>-1.5644973905831805</v>
      </c>
      <c r="AE12" s="127">
        <f t="shared" si="2"/>
        <v>-16679.03785089701</v>
      </c>
    </row>
    <row r="13" spans="1:35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5">
      <c r="A14" s="128" t="s">
        <v>231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5">
      <c r="A15" s="128" t="s">
        <v>226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-0.4816242940297864</v>
      </c>
      <c r="M15" s="126">
        <v>-0.4816242940297864</v>
      </c>
      <c r="N15" s="126">
        <f t="shared" si="1"/>
        <v>-963.24858805957285</v>
      </c>
      <c r="O15" s="126">
        <v>-0.4816242940297864</v>
      </c>
      <c r="P15" s="126">
        <v>-0.4816242940297864</v>
      </c>
      <c r="Q15" s="126">
        <v>-0.4816242940297864</v>
      </c>
      <c r="R15" s="126">
        <v>-0.4816242940297864</v>
      </c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>
        <f t="shared" si="2"/>
        <v>0</v>
      </c>
    </row>
    <row r="16" spans="1:35">
      <c r="A16" s="128" t="s">
        <v>227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f t="shared" si="1"/>
        <v>0</v>
      </c>
      <c r="O16" s="123">
        <v>0</v>
      </c>
      <c r="P16" s="123">
        <v>0</v>
      </c>
      <c r="Q16" s="123">
        <v>0</v>
      </c>
      <c r="R16" s="123">
        <v>0</v>
      </c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>
        <f t="shared" si="2"/>
        <v>0</v>
      </c>
    </row>
    <row r="17" spans="1:31">
      <c r="A17" s="128" t="s">
        <v>232</v>
      </c>
      <c r="B17" s="127">
        <f>SUM(B15:B16)</f>
        <v>0</v>
      </c>
      <c r="C17" s="127">
        <f t="shared" ref="C17:AD17" si="5">SUM(C15:C16)</f>
        <v>0</v>
      </c>
      <c r="D17" s="127">
        <f t="shared" si="5"/>
        <v>0</v>
      </c>
      <c r="E17" s="127">
        <f t="shared" si="5"/>
        <v>0</v>
      </c>
      <c r="F17" s="127">
        <f t="shared" si="5"/>
        <v>0</v>
      </c>
      <c r="G17" s="127">
        <f t="shared" si="5"/>
        <v>0</v>
      </c>
      <c r="H17" s="127">
        <f t="shared" si="5"/>
        <v>0</v>
      </c>
      <c r="I17" s="127">
        <f t="shared" si="5"/>
        <v>0</v>
      </c>
      <c r="J17" s="127">
        <f t="shared" si="5"/>
        <v>0</v>
      </c>
      <c r="K17" s="127">
        <f t="shared" si="5"/>
        <v>0</v>
      </c>
      <c r="L17" s="127">
        <f t="shared" si="5"/>
        <v>-0.4816242940297864</v>
      </c>
      <c r="M17" s="127">
        <f t="shared" si="5"/>
        <v>-0.4816242940297864</v>
      </c>
      <c r="N17" s="127">
        <f t="shared" si="1"/>
        <v>-963.24858805957285</v>
      </c>
      <c r="O17" s="127">
        <f t="shared" si="5"/>
        <v>-0.4816242940297864</v>
      </c>
      <c r="P17" s="127">
        <f t="shared" si="5"/>
        <v>-0.4816242940297864</v>
      </c>
      <c r="Q17" s="127">
        <f t="shared" si="5"/>
        <v>-0.4816242940297864</v>
      </c>
      <c r="R17" s="127">
        <f t="shared" si="5"/>
        <v>-0.4816242940297864</v>
      </c>
      <c r="S17" s="127">
        <f t="shared" si="5"/>
        <v>0</v>
      </c>
      <c r="T17" s="127">
        <f t="shared" si="5"/>
        <v>0</v>
      </c>
      <c r="U17" s="127">
        <f t="shared" si="5"/>
        <v>0</v>
      </c>
      <c r="V17" s="127">
        <f t="shared" si="5"/>
        <v>0</v>
      </c>
      <c r="W17" s="127">
        <f t="shared" si="5"/>
        <v>0</v>
      </c>
      <c r="X17" s="127">
        <f t="shared" si="5"/>
        <v>0</v>
      </c>
      <c r="Y17" s="127">
        <f t="shared" si="5"/>
        <v>0</v>
      </c>
      <c r="Z17" s="127">
        <f t="shared" si="5"/>
        <v>0</v>
      </c>
      <c r="AA17" s="127">
        <f t="shared" si="5"/>
        <v>0</v>
      </c>
      <c r="AB17" s="127">
        <f t="shared" si="5"/>
        <v>0</v>
      </c>
      <c r="AC17" s="127">
        <f t="shared" si="5"/>
        <v>0</v>
      </c>
      <c r="AD17" s="127">
        <f t="shared" si="5"/>
        <v>0</v>
      </c>
      <c r="AE17" s="127">
        <f t="shared" si="2"/>
        <v>0</v>
      </c>
    </row>
    <row r="18" spans="1:31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>
      <c r="A19" s="128" t="s">
        <v>233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1">
      <c r="A20" s="128" t="s">
        <v>226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f t="shared" si="1"/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-1.3563117450840751</v>
      </c>
      <c r="Z20" s="126">
        <v>-1.3563117450840751</v>
      </c>
      <c r="AA20" s="126">
        <v>-1.3563117450840751</v>
      </c>
      <c r="AB20" s="126">
        <v>-1.3563117450840751</v>
      </c>
      <c r="AC20" s="126">
        <v>-1.3563117450840751</v>
      </c>
      <c r="AD20" s="126">
        <v>-1.3563117450840751</v>
      </c>
      <c r="AE20" s="126">
        <f t="shared" si="2"/>
        <v>-8137.8704705044511</v>
      </c>
    </row>
    <row r="21" spans="1:31">
      <c r="A21" s="128" t="s">
        <v>227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f t="shared" si="1"/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f t="shared" si="2"/>
        <v>0</v>
      </c>
    </row>
    <row r="22" spans="1:31">
      <c r="A22" s="128" t="s">
        <v>234</v>
      </c>
      <c r="B22" s="127">
        <f>SUM(B20:B21)</f>
        <v>0</v>
      </c>
      <c r="C22" s="127">
        <f t="shared" ref="C22:AD22" si="6">SUM(C20:C21)</f>
        <v>0</v>
      </c>
      <c r="D22" s="127">
        <f t="shared" si="6"/>
        <v>0</v>
      </c>
      <c r="E22" s="127">
        <f t="shared" si="6"/>
        <v>0</v>
      </c>
      <c r="F22" s="127">
        <f t="shared" si="6"/>
        <v>0</v>
      </c>
      <c r="G22" s="127">
        <f t="shared" si="6"/>
        <v>0</v>
      </c>
      <c r="H22" s="127">
        <f t="shared" si="6"/>
        <v>0</v>
      </c>
      <c r="I22" s="127">
        <f t="shared" si="6"/>
        <v>0</v>
      </c>
      <c r="J22" s="127">
        <f t="shared" si="6"/>
        <v>0</v>
      </c>
      <c r="K22" s="127">
        <f t="shared" si="6"/>
        <v>0</v>
      </c>
      <c r="L22" s="127">
        <f t="shared" si="6"/>
        <v>0</v>
      </c>
      <c r="M22" s="127">
        <f t="shared" si="6"/>
        <v>0</v>
      </c>
      <c r="N22" s="127">
        <f t="shared" si="1"/>
        <v>0</v>
      </c>
      <c r="O22" s="127">
        <f t="shared" si="6"/>
        <v>0</v>
      </c>
      <c r="P22" s="127">
        <f t="shared" si="6"/>
        <v>0</v>
      </c>
      <c r="Q22" s="127">
        <f t="shared" si="6"/>
        <v>0</v>
      </c>
      <c r="R22" s="127">
        <f t="shared" si="6"/>
        <v>0</v>
      </c>
      <c r="S22" s="127">
        <f t="shared" si="6"/>
        <v>0</v>
      </c>
      <c r="T22" s="127">
        <f t="shared" si="6"/>
        <v>0</v>
      </c>
      <c r="U22" s="127">
        <f t="shared" si="6"/>
        <v>0</v>
      </c>
      <c r="V22" s="127">
        <f t="shared" si="6"/>
        <v>0</v>
      </c>
      <c r="W22" s="127">
        <f t="shared" si="6"/>
        <v>0</v>
      </c>
      <c r="X22" s="127">
        <f t="shared" si="6"/>
        <v>0</v>
      </c>
      <c r="Y22" s="127">
        <f t="shared" si="6"/>
        <v>-1.3563117450840751</v>
      </c>
      <c r="Z22" s="127">
        <f t="shared" si="6"/>
        <v>-1.3563117450840751</v>
      </c>
      <c r="AA22" s="127">
        <f t="shared" si="6"/>
        <v>-1.3563117450840751</v>
      </c>
      <c r="AB22" s="127">
        <f t="shared" si="6"/>
        <v>-1.3563117450840751</v>
      </c>
      <c r="AC22" s="127">
        <f t="shared" si="6"/>
        <v>-1.3563117450840751</v>
      </c>
      <c r="AD22" s="127">
        <f t="shared" si="6"/>
        <v>-1.3563117450840751</v>
      </c>
      <c r="AE22" s="127">
        <f t="shared" si="2"/>
        <v>-8137.8704705044511</v>
      </c>
    </row>
    <row r="23" spans="1:31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</row>
    <row r="24" spans="1:31">
      <c r="A24" s="128" t="s">
        <v>235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</row>
    <row r="25" spans="1:31">
      <c r="A25" s="128" t="s">
        <v>236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</row>
    <row r="26" spans="1:31">
      <c r="A26" s="128" t="s">
        <v>226</v>
      </c>
      <c r="B26" s="126">
        <v>-4.091085894658228</v>
      </c>
      <c r="C26" s="126">
        <v>-4.091085894658228</v>
      </c>
      <c r="D26" s="126">
        <v>-4.091085894658228</v>
      </c>
      <c r="E26" s="126">
        <v>-4.091085894658228</v>
      </c>
      <c r="F26" s="126">
        <v>-4.091085894658228</v>
      </c>
      <c r="G26" s="126">
        <v>-4.091085894658228</v>
      </c>
      <c r="H26" s="126">
        <v>-4.091085894658228</v>
      </c>
      <c r="I26" s="126">
        <v>-4.091085894658228</v>
      </c>
      <c r="J26" s="126">
        <v>-4.091085894658228</v>
      </c>
      <c r="K26" s="126">
        <v>-4.091085894658228</v>
      </c>
      <c r="L26" s="126">
        <v>-4.091085894658228</v>
      </c>
      <c r="M26" s="126">
        <v>-4.091085894658228</v>
      </c>
      <c r="N26" s="126">
        <f t="shared" si="1"/>
        <v>-49093.030735898734</v>
      </c>
      <c r="O26" s="126">
        <v>-4.091085894658228</v>
      </c>
      <c r="P26" s="126">
        <v>-4.091085894658228</v>
      </c>
      <c r="Q26" s="126">
        <v>-4.091085894658228</v>
      </c>
      <c r="R26" s="126">
        <v>-4.091085894658228</v>
      </c>
      <c r="S26" s="126">
        <v>-4.091085894658228</v>
      </c>
      <c r="T26" s="126">
        <v>-4.091085894658228</v>
      </c>
      <c r="U26" s="126">
        <v>-4.091085894658228</v>
      </c>
      <c r="V26" s="126">
        <v>-4.091085894658228</v>
      </c>
      <c r="W26" s="126">
        <v>-4.091085894658228</v>
      </c>
      <c r="X26" s="126">
        <v>-4.091085894658228</v>
      </c>
      <c r="Y26" s="126">
        <v>-4.091085894658228</v>
      </c>
      <c r="Z26" s="126">
        <v>-4.091085894658228</v>
      </c>
      <c r="AA26" s="126">
        <v>-4.091085894658228</v>
      </c>
      <c r="AB26" s="126">
        <v>-4.091085894658228</v>
      </c>
      <c r="AC26" s="126">
        <v>-4.091085894658228</v>
      </c>
      <c r="AD26" s="126">
        <v>-4.091085894658228</v>
      </c>
      <c r="AE26" s="126">
        <f t="shared" si="2"/>
        <v>-49093.030735898734</v>
      </c>
    </row>
    <row r="27" spans="1:31">
      <c r="A27" s="128" t="s">
        <v>227</v>
      </c>
      <c r="B27" s="123">
        <v>-0.31591396869947691</v>
      </c>
      <c r="C27" s="123">
        <v>-0.31591396869947691</v>
      </c>
      <c r="D27" s="123">
        <v>-0.31591396869947691</v>
      </c>
      <c r="E27" s="123">
        <v>-0.31591396869947691</v>
      </c>
      <c r="F27" s="123">
        <v>-0.31591396869947691</v>
      </c>
      <c r="G27" s="123">
        <v>-0.31591396869947691</v>
      </c>
      <c r="H27" s="123">
        <v>-0.31591396869947691</v>
      </c>
      <c r="I27" s="123">
        <v>-0.31591396869947691</v>
      </c>
      <c r="J27" s="123">
        <v>-0.31591396869947691</v>
      </c>
      <c r="K27" s="123">
        <v>-0.31591396869947691</v>
      </c>
      <c r="L27" s="123">
        <v>-0.31591396869947691</v>
      </c>
      <c r="M27" s="123">
        <v>-0.31591396869947691</v>
      </c>
      <c r="N27" s="123">
        <f t="shared" si="1"/>
        <v>-3790.9676243937224</v>
      </c>
      <c r="O27" s="123">
        <v>-0.31591396869947691</v>
      </c>
      <c r="P27" s="123">
        <v>-0.31591396869947691</v>
      </c>
      <c r="Q27" s="123">
        <v>-0.31591396869947691</v>
      </c>
      <c r="R27" s="123">
        <v>-0.31591396869947691</v>
      </c>
      <c r="S27" s="123">
        <v>-0.31591396869947691</v>
      </c>
      <c r="T27" s="123">
        <v>-0.31591396869947691</v>
      </c>
      <c r="U27" s="123">
        <v>-0.31591396869947691</v>
      </c>
      <c r="V27" s="123">
        <v>-0.31591396869947691</v>
      </c>
      <c r="W27" s="123">
        <v>-0.31591396869947691</v>
      </c>
      <c r="X27" s="123">
        <v>-0.31591396869947691</v>
      </c>
      <c r="Y27" s="123">
        <v>-0.31591396869947691</v>
      </c>
      <c r="Z27" s="123">
        <v>-0.31591396869947691</v>
      </c>
      <c r="AA27" s="123">
        <v>-0.31591396869947691</v>
      </c>
      <c r="AB27" s="123">
        <v>-0.31591396869947691</v>
      </c>
      <c r="AC27" s="123">
        <v>-0.31591396869947691</v>
      </c>
      <c r="AD27" s="123">
        <v>-0.31591396869947691</v>
      </c>
      <c r="AE27" s="123">
        <f t="shared" si="2"/>
        <v>-3790.9676243937224</v>
      </c>
    </row>
    <row r="28" spans="1:31">
      <c r="A28" s="128" t="s">
        <v>237</v>
      </c>
      <c r="B28" s="127">
        <f>SUM(B26:B27)</f>
        <v>-4.4069998633577052</v>
      </c>
      <c r="C28" s="127">
        <f t="shared" ref="C28:AD28" si="7">SUM(C26:C27)</f>
        <v>-4.4069998633577052</v>
      </c>
      <c r="D28" s="127">
        <f t="shared" si="7"/>
        <v>-4.4069998633577052</v>
      </c>
      <c r="E28" s="127">
        <f t="shared" si="7"/>
        <v>-4.4069998633577052</v>
      </c>
      <c r="F28" s="127">
        <f t="shared" si="7"/>
        <v>-4.4069998633577052</v>
      </c>
      <c r="G28" s="127">
        <f t="shared" si="7"/>
        <v>-4.4069998633577052</v>
      </c>
      <c r="H28" s="127">
        <f t="shared" si="7"/>
        <v>-4.4069998633577052</v>
      </c>
      <c r="I28" s="127">
        <f t="shared" si="7"/>
        <v>-4.4069998633577052</v>
      </c>
      <c r="J28" s="127">
        <f t="shared" si="7"/>
        <v>-4.4069998633577052</v>
      </c>
      <c r="K28" s="127">
        <f t="shared" si="7"/>
        <v>-4.4069998633577052</v>
      </c>
      <c r="L28" s="127">
        <f t="shared" si="7"/>
        <v>-4.4069998633577052</v>
      </c>
      <c r="M28" s="127">
        <f t="shared" si="7"/>
        <v>-4.4069998633577052</v>
      </c>
      <c r="N28" s="127">
        <f t="shared" si="1"/>
        <v>-52883.998360292462</v>
      </c>
      <c r="O28" s="127">
        <f t="shared" si="7"/>
        <v>-4.4069998633577052</v>
      </c>
      <c r="P28" s="127">
        <f t="shared" si="7"/>
        <v>-4.4069998633577052</v>
      </c>
      <c r="Q28" s="127">
        <f t="shared" si="7"/>
        <v>-4.4069998633577052</v>
      </c>
      <c r="R28" s="127">
        <f t="shared" si="7"/>
        <v>-4.4069998633577052</v>
      </c>
      <c r="S28" s="127">
        <f t="shared" si="7"/>
        <v>-4.4069998633577052</v>
      </c>
      <c r="T28" s="127">
        <f t="shared" si="7"/>
        <v>-4.4069998633577052</v>
      </c>
      <c r="U28" s="127">
        <f t="shared" si="7"/>
        <v>-4.4069998633577052</v>
      </c>
      <c r="V28" s="127">
        <f t="shared" si="7"/>
        <v>-4.4069998633577052</v>
      </c>
      <c r="W28" s="127">
        <f t="shared" si="7"/>
        <v>-4.4069998633577052</v>
      </c>
      <c r="X28" s="127">
        <f t="shared" si="7"/>
        <v>-4.4069998633577052</v>
      </c>
      <c r="Y28" s="127">
        <f t="shared" si="7"/>
        <v>-4.4069998633577052</v>
      </c>
      <c r="Z28" s="127">
        <f t="shared" si="7"/>
        <v>-4.4069998633577052</v>
      </c>
      <c r="AA28" s="127">
        <f t="shared" si="7"/>
        <v>-4.4069998633577052</v>
      </c>
      <c r="AB28" s="127">
        <f t="shared" si="7"/>
        <v>-4.4069998633577052</v>
      </c>
      <c r="AC28" s="127">
        <f t="shared" si="7"/>
        <v>-4.4069998633577052</v>
      </c>
      <c r="AD28" s="127">
        <f t="shared" si="7"/>
        <v>-4.4069998633577052</v>
      </c>
      <c r="AE28" s="127">
        <f t="shared" si="2"/>
        <v>-52883.998360292462</v>
      </c>
    </row>
    <row r="29" spans="1:31">
      <c r="A29" s="137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>
      <c r="A30" s="128" t="s">
        <v>238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</row>
    <row r="31" spans="1:31">
      <c r="A31" s="128" t="s">
        <v>226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f t="shared" si="1"/>
        <v>0</v>
      </c>
      <c r="O31" s="126">
        <v>0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  <c r="AC31" s="126">
        <v>0</v>
      </c>
      <c r="AD31" s="126">
        <v>0</v>
      </c>
      <c r="AE31" s="126">
        <f t="shared" si="2"/>
        <v>0</v>
      </c>
    </row>
    <row r="32" spans="1:31">
      <c r="A32" s="128" t="s">
        <v>227</v>
      </c>
      <c r="B32" s="123">
        <v>0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f t="shared" si="1"/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0</v>
      </c>
      <c r="AD32" s="123">
        <v>0</v>
      </c>
      <c r="AE32" s="123">
        <f t="shared" si="2"/>
        <v>0</v>
      </c>
    </row>
    <row r="33" spans="1:31">
      <c r="A33" s="128" t="s">
        <v>239</v>
      </c>
      <c r="B33" s="127">
        <f>SUM(B31:B32)</f>
        <v>0</v>
      </c>
      <c r="C33" s="127">
        <f t="shared" ref="C33:AD33" si="8">SUM(C31:C32)</f>
        <v>0</v>
      </c>
      <c r="D33" s="127">
        <f t="shared" si="8"/>
        <v>0</v>
      </c>
      <c r="E33" s="127">
        <f t="shared" si="8"/>
        <v>0</v>
      </c>
      <c r="F33" s="127">
        <f t="shared" si="8"/>
        <v>0</v>
      </c>
      <c r="G33" s="127">
        <f t="shared" si="8"/>
        <v>0</v>
      </c>
      <c r="H33" s="127">
        <f t="shared" si="8"/>
        <v>0</v>
      </c>
      <c r="I33" s="127">
        <f t="shared" si="8"/>
        <v>0</v>
      </c>
      <c r="J33" s="127">
        <f t="shared" si="8"/>
        <v>0</v>
      </c>
      <c r="K33" s="127">
        <f t="shared" si="8"/>
        <v>0</v>
      </c>
      <c r="L33" s="127">
        <f t="shared" si="8"/>
        <v>0</v>
      </c>
      <c r="M33" s="127">
        <f t="shared" si="8"/>
        <v>0</v>
      </c>
      <c r="N33" s="127">
        <f t="shared" si="1"/>
        <v>0</v>
      </c>
      <c r="O33" s="127">
        <f t="shared" si="8"/>
        <v>0</v>
      </c>
      <c r="P33" s="127">
        <f t="shared" si="8"/>
        <v>0</v>
      </c>
      <c r="Q33" s="127">
        <f t="shared" si="8"/>
        <v>0</v>
      </c>
      <c r="R33" s="127">
        <f t="shared" si="8"/>
        <v>0</v>
      </c>
      <c r="S33" s="127">
        <f t="shared" si="8"/>
        <v>0</v>
      </c>
      <c r="T33" s="127">
        <f t="shared" si="8"/>
        <v>0</v>
      </c>
      <c r="U33" s="127">
        <f t="shared" si="8"/>
        <v>0</v>
      </c>
      <c r="V33" s="127">
        <f t="shared" si="8"/>
        <v>0</v>
      </c>
      <c r="W33" s="127">
        <f t="shared" si="8"/>
        <v>0</v>
      </c>
      <c r="X33" s="127">
        <f t="shared" si="8"/>
        <v>0</v>
      </c>
      <c r="Y33" s="127">
        <f t="shared" si="8"/>
        <v>0</v>
      </c>
      <c r="Z33" s="127">
        <f t="shared" si="8"/>
        <v>0</v>
      </c>
      <c r="AA33" s="127">
        <f t="shared" si="8"/>
        <v>0</v>
      </c>
      <c r="AB33" s="127">
        <f t="shared" si="8"/>
        <v>0</v>
      </c>
      <c r="AC33" s="127">
        <f t="shared" si="8"/>
        <v>0</v>
      </c>
      <c r="AD33" s="127">
        <f t="shared" si="8"/>
        <v>0</v>
      </c>
      <c r="AE33" s="127">
        <f t="shared" si="2"/>
        <v>0</v>
      </c>
    </row>
    <row r="34" spans="1:31">
      <c r="A34" s="137"/>
    </row>
    <row r="35" spans="1:31">
      <c r="A35" s="128" t="s">
        <v>240</v>
      </c>
      <c r="B35" s="129">
        <f>B28+B33</f>
        <v>-4.4069998633577052</v>
      </c>
      <c r="C35" s="129">
        <f t="shared" ref="C35:AD35" si="9">C28+C33</f>
        <v>-4.4069998633577052</v>
      </c>
      <c r="D35" s="129">
        <f t="shared" si="9"/>
        <v>-4.4069998633577052</v>
      </c>
      <c r="E35" s="129">
        <f t="shared" si="9"/>
        <v>-4.4069998633577052</v>
      </c>
      <c r="F35" s="129">
        <f t="shared" si="9"/>
        <v>-4.4069998633577052</v>
      </c>
      <c r="G35" s="129">
        <f t="shared" si="9"/>
        <v>-4.4069998633577052</v>
      </c>
      <c r="H35" s="129">
        <f t="shared" si="9"/>
        <v>-4.4069998633577052</v>
      </c>
      <c r="I35" s="129">
        <f t="shared" si="9"/>
        <v>-4.4069998633577052</v>
      </c>
      <c r="J35" s="129">
        <f t="shared" si="9"/>
        <v>-4.4069998633577052</v>
      </c>
      <c r="K35" s="129">
        <f t="shared" si="9"/>
        <v>-4.4069998633577052</v>
      </c>
      <c r="L35" s="129">
        <f t="shared" si="9"/>
        <v>-4.4069998633577052</v>
      </c>
      <c r="M35" s="129">
        <f t="shared" si="9"/>
        <v>-4.4069998633577052</v>
      </c>
      <c r="N35" s="129">
        <f t="shared" si="1"/>
        <v>-52883.998360292462</v>
      </c>
      <c r="O35" s="129">
        <f t="shared" si="9"/>
        <v>-4.4069998633577052</v>
      </c>
      <c r="P35" s="129">
        <f t="shared" si="9"/>
        <v>-4.4069998633577052</v>
      </c>
      <c r="Q35" s="129">
        <f t="shared" si="9"/>
        <v>-4.4069998633577052</v>
      </c>
      <c r="R35" s="129">
        <f t="shared" si="9"/>
        <v>-4.4069998633577052</v>
      </c>
      <c r="S35" s="129">
        <f t="shared" si="9"/>
        <v>-4.4069998633577052</v>
      </c>
      <c r="T35" s="129">
        <f t="shared" si="9"/>
        <v>-4.4069998633577052</v>
      </c>
      <c r="U35" s="129">
        <f t="shared" si="9"/>
        <v>-4.4069998633577052</v>
      </c>
      <c r="V35" s="129">
        <f t="shared" si="9"/>
        <v>-4.4069998633577052</v>
      </c>
      <c r="W35" s="129">
        <f t="shared" si="9"/>
        <v>-4.4069998633577052</v>
      </c>
      <c r="X35" s="129">
        <f t="shared" si="9"/>
        <v>-4.4069998633577052</v>
      </c>
      <c r="Y35" s="129">
        <f t="shared" si="9"/>
        <v>-4.4069998633577052</v>
      </c>
      <c r="Z35" s="129">
        <f t="shared" si="9"/>
        <v>-4.4069998633577052</v>
      </c>
      <c r="AA35" s="129">
        <f t="shared" si="9"/>
        <v>-4.4069998633577052</v>
      </c>
      <c r="AB35" s="129">
        <f t="shared" si="9"/>
        <v>-4.4069998633577052</v>
      </c>
      <c r="AC35" s="129">
        <f t="shared" si="9"/>
        <v>-4.4069998633577052</v>
      </c>
      <c r="AD35" s="129">
        <f t="shared" si="9"/>
        <v>-4.4069998633577052</v>
      </c>
      <c r="AE35" s="129">
        <f t="shared" si="2"/>
        <v>-52883.998360292462</v>
      </c>
    </row>
    <row r="36" spans="1:31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>
        <f t="shared" si="1"/>
        <v>0</v>
      </c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>
        <f t="shared" si="2"/>
        <v>0</v>
      </c>
    </row>
    <row r="37" spans="1:31" ht="15.75" thickBot="1">
      <c r="A37" s="128" t="s">
        <v>241</v>
      </c>
      <c r="B37" s="131">
        <f>B7+B12+B17+B22+B35</f>
        <v>-4.4069998633577052</v>
      </c>
      <c r="C37" s="131">
        <f t="shared" ref="C37:AD37" si="10">C7+C12+C17+C22+C35</f>
        <v>-4.4069998633577052</v>
      </c>
      <c r="D37" s="131">
        <f t="shared" si="10"/>
        <v>-4.4069998633577052</v>
      </c>
      <c r="E37" s="131">
        <f t="shared" si="10"/>
        <v>-4.4069998633577052</v>
      </c>
      <c r="F37" s="131">
        <f t="shared" si="10"/>
        <v>-4.4069998633577052</v>
      </c>
      <c r="G37" s="131">
        <f t="shared" si="10"/>
        <v>-120.7503874335014</v>
      </c>
      <c r="H37" s="131">
        <f t="shared" si="10"/>
        <v>-120.7503874335014</v>
      </c>
      <c r="I37" s="131">
        <f t="shared" si="10"/>
        <v>-120.7503874335014</v>
      </c>
      <c r="J37" s="131">
        <f t="shared" si="10"/>
        <v>-120.7503874335014</v>
      </c>
      <c r="K37" s="131">
        <f t="shared" si="10"/>
        <v>-120.7503874335014</v>
      </c>
      <c r="L37" s="131">
        <f t="shared" si="10"/>
        <v>-383.91922830926785</v>
      </c>
      <c r="M37" s="131">
        <f t="shared" si="10"/>
        <v>-383.91922830926785</v>
      </c>
      <c r="N37" s="131">
        <f t="shared" si="1"/>
        <v>-1393625.3931028312</v>
      </c>
      <c r="O37" s="131">
        <f t="shared" si="10"/>
        <v>-383.91922830926785</v>
      </c>
      <c r="P37" s="131">
        <f t="shared" si="10"/>
        <v>-383.91922830926785</v>
      </c>
      <c r="Q37" s="131">
        <f t="shared" si="10"/>
        <v>-383.91922830926785</v>
      </c>
      <c r="R37" s="131">
        <f t="shared" si="10"/>
        <v>-383.91922830926785</v>
      </c>
      <c r="S37" s="131">
        <f t="shared" si="10"/>
        <v>-5.6223421145906931</v>
      </c>
      <c r="T37" s="131">
        <f t="shared" si="10"/>
        <v>-5.6223421145906931</v>
      </c>
      <c r="U37" s="131">
        <f t="shared" si="10"/>
        <v>-5.6223421145906931</v>
      </c>
      <c r="V37" s="131">
        <f t="shared" si="10"/>
        <v>-5.6223421145906931</v>
      </c>
      <c r="W37" s="131">
        <f t="shared" si="10"/>
        <v>-5.6223421145906931</v>
      </c>
      <c r="X37" s="131">
        <f t="shared" si="10"/>
        <v>-5.6223421145906931</v>
      </c>
      <c r="Y37" s="138">
        <f t="shared" si="10"/>
        <v>-7.3278089990249606</v>
      </c>
      <c r="Z37" s="138">
        <f t="shared" si="10"/>
        <v>-7.3278089990249606</v>
      </c>
      <c r="AA37" s="131">
        <f t="shared" si="10"/>
        <v>-7.3278089990249606</v>
      </c>
      <c r="AB37" s="131">
        <f t="shared" si="10"/>
        <v>-7.3278089990249606</v>
      </c>
      <c r="AC37" s="131">
        <f t="shared" si="10"/>
        <v>-7.3278089990249606</v>
      </c>
      <c r="AD37" s="131">
        <f t="shared" si="10"/>
        <v>-7.3278089990249606</v>
      </c>
      <c r="AE37" s="131">
        <f t="shared" si="2"/>
        <v>-77700.906681693916</v>
      </c>
    </row>
    <row r="38" spans="1:31" ht="15.75" thickTop="1"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f t="shared" si="1"/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f t="shared" si="2"/>
        <v>0</v>
      </c>
    </row>
    <row r="40" spans="1:31">
      <c r="A40" s="135" t="s">
        <v>242</v>
      </c>
    </row>
    <row r="41" spans="1:31">
      <c r="A41" s="128" t="s">
        <v>226</v>
      </c>
      <c r="B41" s="126">
        <v>-6.3080126077902072</v>
      </c>
      <c r="C41" s="126">
        <v>-6.3080126077902072</v>
      </c>
      <c r="D41" s="126">
        <v>-6.3080126077902072</v>
      </c>
      <c r="E41" s="126">
        <v>-6.3080126077902072</v>
      </c>
      <c r="F41" s="126">
        <v>-6.3080126077902072</v>
      </c>
      <c r="G41" s="126">
        <v>-6.3080126077902072</v>
      </c>
      <c r="H41" s="126">
        <v>-6.3080126077902072</v>
      </c>
      <c r="I41" s="126">
        <v>-6.3080126077902072</v>
      </c>
      <c r="J41" s="126">
        <v>-6.3080126077902072</v>
      </c>
      <c r="K41" s="126">
        <v>-6.3080126077902072</v>
      </c>
      <c r="L41" s="126">
        <v>-7.1540237117939824</v>
      </c>
      <c r="M41" s="126">
        <v>-7.1540237117939824</v>
      </c>
      <c r="N41" s="126">
        <f t="shared" si="1"/>
        <v>-77388.173501490033</v>
      </c>
      <c r="O41" s="126">
        <v>-7.1540237117939824</v>
      </c>
      <c r="P41" s="126">
        <v>-7.1540237117939824</v>
      </c>
      <c r="Q41" s="126">
        <v>-7.1540237117939824</v>
      </c>
      <c r="R41" s="126">
        <v>-7.1540237117939824</v>
      </c>
      <c r="S41" s="126">
        <v>-7.1540237117939824</v>
      </c>
      <c r="T41" s="126">
        <v>-7.1540237117939824</v>
      </c>
      <c r="U41" s="126">
        <v>-7.1540237117939824</v>
      </c>
      <c r="V41" s="126">
        <v>-7.1540237117939824</v>
      </c>
      <c r="W41" s="126">
        <v>-7.1540237117939824</v>
      </c>
      <c r="X41" s="126">
        <v>-7.1540237117939824</v>
      </c>
      <c r="Y41" s="126">
        <v>-8.0761474407796303</v>
      </c>
      <c r="Z41" s="126">
        <v>-8.0761474407796303</v>
      </c>
      <c r="AA41" s="126">
        <v>-8.0761474407796303</v>
      </c>
      <c r="AB41" s="126">
        <v>-8.0761474407796303</v>
      </c>
      <c r="AC41" s="126">
        <v>-8.0761474407796303</v>
      </c>
      <c r="AD41" s="126">
        <v>-8.0761474407796303</v>
      </c>
      <c r="AE41" s="126">
        <f t="shared" si="2"/>
        <v>-91381.026915441689</v>
      </c>
    </row>
    <row r="42" spans="1:31">
      <c r="A42" s="128" t="s">
        <v>227</v>
      </c>
      <c r="B42" s="123">
        <v>-0.21053986777803949</v>
      </c>
      <c r="C42" s="123">
        <v>-0.21053986777803949</v>
      </c>
      <c r="D42" s="123">
        <v>-0.21053986777803949</v>
      </c>
      <c r="E42" s="123">
        <v>-0.21053986777803949</v>
      </c>
      <c r="F42" s="123">
        <v>-0.21053986777803949</v>
      </c>
      <c r="G42" s="123">
        <v>-0.21053986777803949</v>
      </c>
      <c r="H42" s="123">
        <v>-0.21053986777803949</v>
      </c>
      <c r="I42" s="123">
        <v>-0.21053986777803949</v>
      </c>
      <c r="J42" s="123">
        <v>-0.21053986777803949</v>
      </c>
      <c r="K42" s="123">
        <v>-0.21053986777803949</v>
      </c>
      <c r="L42" s="123">
        <v>-0.23265671868630156</v>
      </c>
      <c r="M42" s="123">
        <v>-0.23265671868630156</v>
      </c>
      <c r="N42" s="123">
        <f t="shared" si="1"/>
        <v>-2570.7121151529982</v>
      </c>
      <c r="O42" s="123">
        <v>-0.23265671868630156</v>
      </c>
      <c r="P42" s="123">
        <v>-0.23265671868630156</v>
      </c>
      <c r="Q42" s="123">
        <v>-0.23265671868630156</v>
      </c>
      <c r="R42" s="123">
        <v>-0.23265671868630156</v>
      </c>
      <c r="S42" s="123">
        <v>-0.23265671868630156</v>
      </c>
      <c r="T42" s="123">
        <v>-0.23265671868630156</v>
      </c>
      <c r="U42" s="123">
        <v>-0.23265671868630156</v>
      </c>
      <c r="V42" s="123">
        <v>-0.23265671868630156</v>
      </c>
      <c r="W42" s="123">
        <v>-0.23265671868630156</v>
      </c>
      <c r="X42" s="123">
        <v>-0.23265671868630156</v>
      </c>
      <c r="Y42" s="123">
        <v>-0.20048801189595647</v>
      </c>
      <c r="Z42" s="123">
        <v>-0.20048801189595647</v>
      </c>
      <c r="AA42" s="123">
        <v>-0.20048801189595647</v>
      </c>
      <c r="AB42" s="123">
        <v>-0.20048801189595647</v>
      </c>
      <c r="AC42" s="123">
        <v>-0.20048801189595647</v>
      </c>
      <c r="AD42" s="123">
        <v>-0.20048801189595647</v>
      </c>
      <c r="AE42" s="123">
        <f t="shared" si="2"/>
        <v>-2598.8683834935482</v>
      </c>
    </row>
    <row r="43" spans="1:31" ht="15.75" thickBot="1">
      <c r="A43" s="128" t="s">
        <v>243</v>
      </c>
      <c r="B43" s="139">
        <f>SUM(B41:B42)</f>
        <v>-6.5185524755682467</v>
      </c>
      <c r="C43" s="139">
        <f t="shared" ref="C43:AD43" si="11">SUM(C41:C42)</f>
        <v>-6.5185524755682467</v>
      </c>
      <c r="D43" s="139">
        <f t="shared" si="11"/>
        <v>-6.5185524755682467</v>
      </c>
      <c r="E43" s="139">
        <f t="shared" si="11"/>
        <v>-6.5185524755682467</v>
      </c>
      <c r="F43" s="139">
        <f t="shared" si="11"/>
        <v>-6.5185524755682467</v>
      </c>
      <c r="G43" s="139">
        <f t="shared" si="11"/>
        <v>-6.5185524755682467</v>
      </c>
      <c r="H43" s="139">
        <f t="shared" si="11"/>
        <v>-6.5185524755682467</v>
      </c>
      <c r="I43" s="139">
        <f t="shared" si="11"/>
        <v>-6.5185524755682467</v>
      </c>
      <c r="J43" s="139">
        <f t="shared" si="11"/>
        <v>-6.5185524755682467</v>
      </c>
      <c r="K43" s="139">
        <f t="shared" si="11"/>
        <v>-6.5185524755682467</v>
      </c>
      <c r="L43" s="139">
        <f t="shared" si="11"/>
        <v>-7.3866804304802844</v>
      </c>
      <c r="M43" s="132">
        <f t="shared" si="11"/>
        <v>-7.3866804304802844</v>
      </c>
      <c r="N43" s="132">
        <f t="shared" si="1"/>
        <v>-79958.885616643049</v>
      </c>
      <c r="O43" s="139">
        <f t="shared" si="11"/>
        <v>-7.3866804304802844</v>
      </c>
      <c r="P43" s="139">
        <f t="shared" si="11"/>
        <v>-7.3866804304802844</v>
      </c>
      <c r="Q43" s="139">
        <f t="shared" si="11"/>
        <v>-7.3866804304802844</v>
      </c>
      <c r="R43" s="132">
        <f t="shared" si="11"/>
        <v>-7.3866804304802844</v>
      </c>
      <c r="S43" s="139">
        <f t="shared" si="11"/>
        <v>-7.3866804304802844</v>
      </c>
      <c r="T43" s="139">
        <f t="shared" si="11"/>
        <v>-7.3866804304802844</v>
      </c>
      <c r="U43" s="139">
        <f t="shared" si="11"/>
        <v>-7.3866804304802844</v>
      </c>
      <c r="V43" s="139">
        <f t="shared" si="11"/>
        <v>-7.3866804304802844</v>
      </c>
      <c r="W43" s="139">
        <f t="shared" si="11"/>
        <v>-7.3866804304802844</v>
      </c>
      <c r="X43" s="139">
        <f t="shared" si="11"/>
        <v>-7.3866804304802844</v>
      </c>
      <c r="Y43" s="139">
        <f t="shared" si="11"/>
        <v>-8.2766354526755865</v>
      </c>
      <c r="Z43" s="139">
        <f t="shared" si="11"/>
        <v>-8.2766354526755865</v>
      </c>
      <c r="AA43" s="139">
        <f t="shared" si="11"/>
        <v>-8.2766354526755865</v>
      </c>
      <c r="AB43" s="139">
        <f t="shared" si="11"/>
        <v>-8.2766354526755865</v>
      </c>
      <c r="AC43" s="139">
        <f t="shared" si="11"/>
        <v>-8.2766354526755865</v>
      </c>
      <c r="AD43" s="139">
        <f t="shared" si="11"/>
        <v>-8.2766354526755865</v>
      </c>
      <c r="AE43" s="132">
        <f t="shared" si="2"/>
        <v>-93979.89529893524</v>
      </c>
    </row>
    <row r="44" spans="1:31" ht="15.75" thickTop="1">
      <c r="B44" s="125">
        <v>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f t="shared" si="1"/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f t="shared" si="2"/>
        <v>0</v>
      </c>
    </row>
    <row r="47" spans="1:31">
      <c r="A47" s="135" t="s">
        <v>244</v>
      </c>
    </row>
    <row r="48" spans="1:31">
      <c r="A48" s="128" t="s">
        <v>226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f t="shared" si="1"/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-0.14276897157260698</v>
      </c>
      <c r="Z48" s="126">
        <v>-0.14276897157260698</v>
      </c>
      <c r="AA48" s="126">
        <v>-0.14276897157260698</v>
      </c>
      <c r="AB48" s="126">
        <v>-0.14276897157260698</v>
      </c>
      <c r="AC48" s="126">
        <v>-0.14276897157260698</v>
      </c>
      <c r="AD48" s="126">
        <v>-0.14276897157260698</v>
      </c>
      <c r="AE48" s="126">
        <f t="shared" si="2"/>
        <v>-856.61382943564206</v>
      </c>
    </row>
    <row r="49" spans="1:31">
      <c r="A49" s="128" t="s">
        <v>227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f t="shared" si="1"/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0</v>
      </c>
      <c r="AD49" s="123">
        <v>0</v>
      </c>
      <c r="AE49" s="123">
        <f t="shared" si="2"/>
        <v>0</v>
      </c>
    </row>
    <row r="50" spans="1:31" ht="15.75" thickBot="1">
      <c r="A50" s="128" t="s">
        <v>245</v>
      </c>
      <c r="B50" s="139">
        <f>SUM(B48:B49)</f>
        <v>0</v>
      </c>
      <c r="C50" s="139">
        <f t="shared" ref="C50:AD50" si="12">SUM(C48:C49)</f>
        <v>0</v>
      </c>
      <c r="D50" s="139">
        <f t="shared" si="12"/>
        <v>0</v>
      </c>
      <c r="E50" s="139">
        <f t="shared" si="12"/>
        <v>0</v>
      </c>
      <c r="F50" s="139">
        <f t="shared" si="12"/>
        <v>0</v>
      </c>
      <c r="G50" s="139">
        <f t="shared" si="12"/>
        <v>0</v>
      </c>
      <c r="H50" s="139">
        <f t="shared" si="12"/>
        <v>0</v>
      </c>
      <c r="I50" s="139">
        <f t="shared" si="12"/>
        <v>0</v>
      </c>
      <c r="J50" s="139">
        <f t="shared" si="12"/>
        <v>0</v>
      </c>
      <c r="K50" s="139">
        <f t="shared" si="12"/>
        <v>0</v>
      </c>
      <c r="L50" s="139">
        <f t="shared" si="12"/>
        <v>0</v>
      </c>
      <c r="M50" s="132">
        <f t="shared" si="12"/>
        <v>0</v>
      </c>
      <c r="N50" s="132">
        <f t="shared" si="1"/>
        <v>0</v>
      </c>
      <c r="O50" s="139">
        <f t="shared" si="12"/>
        <v>0</v>
      </c>
      <c r="P50" s="139">
        <f t="shared" si="12"/>
        <v>0</v>
      </c>
      <c r="Q50" s="139">
        <f t="shared" si="12"/>
        <v>0</v>
      </c>
      <c r="R50" s="132">
        <f t="shared" si="12"/>
        <v>0</v>
      </c>
      <c r="S50" s="139">
        <f t="shared" si="12"/>
        <v>0</v>
      </c>
      <c r="T50" s="139">
        <f t="shared" si="12"/>
        <v>0</v>
      </c>
      <c r="U50" s="139">
        <f t="shared" si="12"/>
        <v>0</v>
      </c>
      <c r="V50" s="139">
        <f t="shared" si="12"/>
        <v>0</v>
      </c>
      <c r="W50" s="139">
        <f t="shared" si="12"/>
        <v>0</v>
      </c>
      <c r="X50" s="139">
        <f t="shared" si="12"/>
        <v>0</v>
      </c>
      <c r="Y50" s="139">
        <f t="shared" si="12"/>
        <v>-0.14276897157260698</v>
      </c>
      <c r="Z50" s="139">
        <f t="shared" si="12"/>
        <v>-0.14276897157260698</v>
      </c>
      <c r="AA50" s="139">
        <f t="shared" si="12"/>
        <v>-0.14276897157260698</v>
      </c>
      <c r="AB50" s="139">
        <f t="shared" si="12"/>
        <v>-0.14276897157260698</v>
      </c>
      <c r="AC50" s="139">
        <f t="shared" si="12"/>
        <v>-0.14276897157260698</v>
      </c>
      <c r="AD50" s="139">
        <f t="shared" si="12"/>
        <v>-0.14276897157260698</v>
      </c>
      <c r="AE50" s="132">
        <f t="shared" si="2"/>
        <v>-856.61382943564206</v>
      </c>
    </row>
    <row r="51" spans="1:31" ht="15.75" thickTop="1">
      <c r="B51" s="125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</row>
    <row r="54" spans="1:31"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</row>
    <row r="55" spans="1:31"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</row>
    <row r="56" spans="1:31"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43" t="s">
        <v>1</v>
      </c>
      <c r="B5" s="143"/>
      <c r="C5" s="143"/>
    </row>
    <row r="6" spans="1:3" ht="18.95" customHeight="1">
      <c r="A6" s="2"/>
      <c r="B6" s="2"/>
      <c r="C6" s="2"/>
    </row>
    <row r="7" spans="1:3" ht="18.95" customHeight="1">
      <c r="A7" s="143" t="s">
        <v>2</v>
      </c>
      <c r="B7" s="143"/>
      <c r="C7" s="143"/>
    </row>
    <row r="8" spans="1:3" ht="18.95" customHeight="1">
      <c r="A8" s="2"/>
      <c r="B8" s="2"/>
      <c r="C8" s="2"/>
    </row>
    <row r="9" spans="1:3" ht="18.95" customHeight="1">
      <c r="A9" s="144" t="str">
        <f>'Rate Case Constants'!C9</f>
        <v>LOUISVILLE GAS AND ELECTRIC COMPANY</v>
      </c>
      <c r="B9" s="143"/>
      <c r="C9" s="143"/>
    </row>
    <row r="10" spans="1:3" ht="18.95" customHeight="1">
      <c r="A10" s="2"/>
      <c r="B10" s="2"/>
      <c r="C10" s="2"/>
    </row>
    <row r="11" spans="1:3" ht="18.95" customHeight="1">
      <c r="A11" s="144" t="str">
        <f>'Rate Case Constants'!C10</f>
        <v>CASE NO. 2020-00350 - GAS OPERATIONS</v>
      </c>
      <c r="B11" s="143"/>
      <c r="C11" s="143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139</v>
      </c>
      <c r="B16" s="2"/>
      <c r="C16" s="57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140</v>
      </c>
      <c r="B18" s="2"/>
      <c r="C18" s="57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6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8"/>
  <sheetViews>
    <sheetView zoomScaleNormal="100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46" t="str">
        <f>'Rate Case Constants'!C9</f>
        <v>LOUISVILLE GAS AND ELECTRIC COMPANY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9" ht="12.75">
      <c r="A2" s="146" t="str">
        <f>'Rate Case Constants'!C10</f>
        <v>CASE NO. 2020-00350 - GAS OPERATIONS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9" ht="12.75">
      <c r="A3" s="146" t="s">
        <v>174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9" ht="12.75">
      <c r="A4" s="146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</row>
    <row r="5" spans="1:19" ht="12.75">
      <c r="A5" s="7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3" t="s">
        <v>89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4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113</v>
      </c>
    </row>
    <row r="8" spans="1:19" ht="12.75">
      <c r="A8" s="53" t="s">
        <v>90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06"/>
      <c r="O8" s="106"/>
      <c r="P8" s="106"/>
      <c r="Q8" s="106" t="str">
        <f>'Rate Case Constants'!C36</f>
        <v>WITNESS:   C. M. GARRETT</v>
      </c>
      <c r="R8" s="22"/>
      <c r="S8" s="10"/>
    </row>
    <row r="9" spans="1:19" ht="12.75">
      <c r="A9" s="8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7"/>
      <c r="B10" s="77"/>
      <c r="C10" s="77"/>
      <c r="D10" s="77"/>
      <c r="E10" s="145" t="s">
        <v>97</v>
      </c>
      <c r="F10" s="145"/>
      <c r="G10" s="145"/>
      <c r="H10" s="145"/>
      <c r="I10" s="145"/>
      <c r="J10" s="145"/>
      <c r="K10" s="145"/>
      <c r="L10" s="145"/>
      <c r="M10" s="145"/>
      <c r="N10" s="14"/>
      <c r="O10" s="78"/>
      <c r="P10" s="78" t="s">
        <v>98</v>
      </c>
      <c r="Q10" s="78"/>
      <c r="S10" s="77"/>
    </row>
    <row r="11" spans="1:19" s="20" customFormat="1" ht="12.7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 t="s">
        <v>93</v>
      </c>
      <c r="N11" s="14"/>
      <c r="O11" s="77"/>
      <c r="P11" s="77"/>
      <c r="Q11" s="77"/>
      <c r="S11" s="77"/>
    </row>
    <row r="12" spans="1:19" s="20" customFormat="1" ht="12.75">
      <c r="A12" s="77" t="s">
        <v>95</v>
      </c>
      <c r="B12" s="77"/>
      <c r="C12" s="77"/>
      <c r="D12" s="77"/>
      <c r="E12" s="77" t="s">
        <v>91</v>
      </c>
      <c r="F12" s="77"/>
      <c r="G12" s="77"/>
      <c r="H12" s="77"/>
      <c r="I12" s="77" t="s">
        <v>94</v>
      </c>
      <c r="J12" s="77"/>
      <c r="K12" s="77" t="s">
        <v>93</v>
      </c>
      <c r="L12" s="77"/>
      <c r="M12" s="77" t="s">
        <v>94</v>
      </c>
      <c r="N12" s="14"/>
      <c r="O12" s="77"/>
      <c r="P12" s="77"/>
      <c r="Q12" s="77" t="s">
        <v>94</v>
      </c>
      <c r="S12" s="77"/>
    </row>
    <row r="13" spans="1:19" s="20" customFormat="1" ht="12.75">
      <c r="A13" s="15" t="s">
        <v>96</v>
      </c>
      <c r="B13" s="78"/>
      <c r="C13" s="15" t="s">
        <v>4</v>
      </c>
      <c r="D13" s="78"/>
      <c r="E13" s="15" t="s">
        <v>92</v>
      </c>
      <c r="F13" s="78"/>
      <c r="G13" s="15" t="s">
        <v>36</v>
      </c>
      <c r="H13" s="78"/>
      <c r="I13" s="15" t="s">
        <v>92</v>
      </c>
      <c r="J13" s="78"/>
      <c r="K13" s="15" t="s">
        <v>36</v>
      </c>
      <c r="L13" s="78"/>
      <c r="M13" s="15" t="s">
        <v>92</v>
      </c>
      <c r="N13" s="14"/>
      <c r="O13" s="15" t="s">
        <v>36</v>
      </c>
      <c r="P13" s="15"/>
      <c r="Q13" s="15" t="s">
        <v>92</v>
      </c>
      <c r="S13" s="77"/>
    </row>
    <row r="14" spans="1:19" s="20" customFormat="1" ht="12.75">
      <c r="A14" s="77"/>
      <c r="B14" s="77"/>
      <c r="C14" s="77"/>
      <c r="D14" s="77"/>
      <c r="E14" s="77">
        <v>-1</v>
      </c>
      <c r="F14" s="77">
        <v>-2</v>
      </c>
      <c r="G14" s="77">
        <v>-2</v>
      </c>
      <c r="H14" s="77"/>
      <c r="I14" s="77">
        <v>-3</v>
      </c>
      <c r="J14" s="77"/>
      <c r="K14" s="77">
        <v>-4</v>
      </c>
      <c r="L14" s="77"/>
      <c r="M14" s="77">
        <v>-5</v>
      </c>
      <c r="N14" s="14"/>
      <c r="O14" s="16">
        <v>-6</v>
      </c>
      <c r="P14" s="14"/>
      <c r="Q14" s="16">
        <v>-7</v>
      </c>
      <c r="S14" s="77"/>
    </row>
    <row r="15" spans="1:19" s="20" customFormat="1" ht="12.75">
      <c r="A15" s="77"/>
      <c r="B15" s="77"/>
      <c r="C15" s="77"/>
      <c r="D15" s="77"/>
      <c r="E15" s="77" t="s">
        <v>7</v>
      </c>
      <c r="F15" s="77"/>
      <c r="G15" s="77" t="s">
        <v>7</v>
      </c>
      <c r="H15" s="77"/>
      <c r="I15" s="77" t="s">
        <v>7</v>
      </c>
      <c r="J15" s="77"/>
      <c r="K15" s="77" t="s">
        <v>7</v>
      </c>
      <c r="L15" s="77"/>
      <c r="M15" s="77" t="s">
        <v>7</v>
      </c>
      <c r="N15" s="14"/>
      <c r="O15" s="77" t="s">
        <v>7</v>
      </c>
      <c r="P15" s="14"/>
      <c r="Q15" s="77" t="s">
        <v>7</v>
      </c>
      <c r="S15" s="77"/>
    </row>
    <row r="16" spans="1:19" ht="12.75">
      <c r="A16" s="7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105</v>
      </c>
    </row>
    <row r="17" spans="1:20" ht="12.75">
      <c r="A17" s="77">
        <v>1</v>
      </c>
      <c r="B17" s="10"/>
      <c r="C17" s="10" t="s">
        <v>8</v>
      </c>
      <c r="D17" s="10"/>
      <c r="E17" s="10">
        <f>'Current Tax B'!I10</f>
        <v>66676877.109180622</v>
      </c>
      <c r="F17" s="10"/>
      <c r="G17" s="10">
        <f>I17-E17</f>
        <v>-4095772.1785361096</v>
      </c>
      <c r="H17" s="10"/>
      <c r="I17" s="10">
        <f>'Current Tax F'!I10</f>
        <v>62581104.930644512</v>
      </c>
      <c r="J17" s="17"/>
      <c r="K17" s="36">
        <v>295135.32</v>
      </c>
      <c r="L17" s="17"/>
      <c r="M17" s="17">
        <f>I17+K17</f>
        <v>62876240.250644512</v>
      </c>
      <c r="N17" s="18"/>
      <c r="O17" s="17">
        <f>29988054-60876-59976</f>
        <v>29867202</v>
      </c>
      <c r="P17" s="18"/>
      <c r="Q17" s="17">
        <f>M17+O17</f>
        <v>92743442.250644505</v>
      </c>
      <c r="S17" s="10">
        <v>29988054</v>
      </c>
      <c r="T17" s="12" t="s">
        <v>116</v>
      </c>
    </row>
    <row r="18" spans="1:20" ht="12.75">
      <c r="A18" s="77">
        <f>A17+1</f>
        <v>2</v>
      </c>
      <c r="B18" s="10"/>
      <c r="C18" s="10" t="s">
        <v>9</v>
      </c>
      <c r="D18" s="10"/>
      <c r="E18" s="19">
        <f>-'Current Tax B'!I11</f>
        <v>14568058</v>
      </c>
      <c r="F18" s="10"/>
      <c r="G18" s="19">
        <f>I18-E18</f>
        <v>5038098.66465725</v>
      </c>
      <c r="H18" s="10"/>
      <c r="I18" s="19">
        <f>-'Current Tax F'!I11</f>
        <v>19606156.66465725</v>
      </c>
      <c r="J18" s="17"/>
      <c r="K18" s="19">
        <v>0</v>
      </c>
      <c r="L18" s="17"/>
      <c r="M18" s="19">
        <f>I18+K18</f>
        <v>19606156.66465725</v>
      </c>
      <c r="N18" s="17"/>
      <c r="O18" s="19">
        <v>0</v>
      </c>
      <c r="P18" s="17"/>
      <c r="Q18" s="19">
        <f>M18+O18</f>
        <v>19606156.66465725</v>
      </c>
      <c r="S18" s="10"/>
    </row>
    <row r="19" spans="1:20" ht="12.75">
      <c r="A19" s="77">
        <f>A18+1</f>
        <v>3</v>
      </c>
      <c r="B19" s="10"/>
      <c r="C19" s="10" t="s">
        <v>10</v>
      </c>
      <c r="D19" s="10" t="s">
        <v>172</v>
      </c>
      <c r="E19" s="10">
        <f>+E17-E18</f>
        <v>52108819.109180622</v>
      </c>
      <c r="F19" s="10"/>
      <c r="G19" s="10">
        <f>I19-E19</f>
        <v>-9133870.8431933597</v>
      </c>
      <c r="H19" s="10"/>
      <c r="I19" s="10">
        <f>+I17-I18</f>
        <v>42974948.265987262</v>
      </c>
      <c r="J19" s="17"/>
      <c r="K19" s="10">
        <f>+K17-K18</f>
        <v>295135.32</v>
      </c>
      <c r="L19" s="17"/>
      <c r="M19" s="10">
        <f>+M17-M18</f>
        <v>43270083.585987262</v>
      </c>
      <c r="N19" s="17"/>
      <c r="O19" s="10">
        <f>+O17-O18</f>
        <v>29867202</v>
      </c>
      <c r="P19" s="17"/>
      <c r="Q19" s="10">
        <f>+Q17-Q18</f>
        <v>73137285.585987255</v>
      </c>
      <c r="S19" s="10"/>
    </row>
    <row r="20" spans="1:20" ht="12.75">
      <c r="A20" s="77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7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77">
        <f>A21+1</f>
        <v>5</v>
      </c>
      <c r="B22" s="10"/>
      <c r="C22" s="17" t="s">
        <v>99</v>
      </c>
      <c r="D22" s="17"/>
      <c r="E22" s="19">
        <f>'Current Tax B'!I20</f>
        <v>410000</v>
      </c>
      <c r="F22" s="10"/>
      <c r="G22" s="19">
        <f t="shared" ref="G22" si="0">I22-E22</f>
        <v>-19000</v>
      </c>
      <c r="H22" s="10"/>
      <c r="I22" s="19">
        <f>'Current Tax F'!I21</f>
        <v>391000</v>
      </c>
      <c r="J22" s="17"/>
      <c r="K22" s="19">
        <v>0</v>
      </c>
      <c r="L22" s="17"/>
      <c r="M22" s="19">
        <f>I22+K22</f>
        <v>391000</v>
      </c>
      <c r="N22" s="17"/>
      <c r="O22" s="19">
        <v>0</v>
      </c>
      <c r="P22" s="17"/>
      <c r="Q22" s="19">
        <f>M22+O22</f>
        <v>391000</v>
      </c>
      <c r="S22" s="10"/>
    </row>
    <row r="23" spans="1:20" ht="12.75">
      <c r="A23" s="77">
        <f t="shared" ref="A23" si="1">A22+1</f>
        <v>6</v>
      </c>
      <c r="B23" s="10"/>
      <c r="C23" s="17" t="s">
        <v>104</v>
      </c>
      <c r="D23" s="17" t="s">
        <v>210</v>
      </c>
      <c r="E23" s="17">
        <f>SUM(E22:E22)</f>
        <v>410000</v>
      </c>
      <c r="F23" s="17"/>
      <c r="G23" s="17">
        <f>SUM(G22:G22)</f>
        <v>-19000</v>
      </c>
      <c r="H23" s="17"/>
      <c r="I23" s="17">
        <f>SUM(I22:I22)</f>
        <v>391000</v>
      </c>
      <c r="J23" s="17"/>
      <c r="K23" s="17">
        <f>SUM(K22:K22)</f>
        <v>0</v>
      </c>
      <c r="L23" s="17"/>
      <c r="M23" s="17">
        <f>SUM(M22:M22)</f>
        <v>391000</v>
      </c>
      <c r="N23" s="17"/>
      <c r="O23" s="17">
        <f>SUM(O22:O22)</f>
        <v>0</v>
      </c>
      <c r="P23" s="17"/>
      <c r="Q23" s="17">
        <f>M23+O23</f>
        <v>391000</v>
      </c>
      <c r="S23" s="10"/>
      <c r="T23" s="121"/>
    </row>
    <row r="24" spans="1:20" ht="12.75">
      <c r="A24" s="77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7">
        <f>A23+1</f>
        <v>7</v>
      </c>
      <c r="B25" s="10"/>
      <c r="C25" s="17" t="s">
        <v>100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7">
        <f>A25+1</f>
        <v>8</v>
      </c>
      <c r="B26" s="10"/>
      <c r="C26" s="17" t="s">
        <v>13</v>
      </c>
      <c r="D26" s="17"/>
      <c r="E26" s="17">
        <f>'Current Tax B'!I29</f>
        <v>-985862</v>
      </c>
      <c r="F26" s="17"/>
      <c r="G26" s="10">
        <f t="shared" ref="G26:G29" si="2">I26-E26</f>
        <v>985862</v>
      </c>
      <c r="H26" s="17"/>
      <c r="I26" s="17">
        <f>'Current Tax F'!I33</f>
        <v>0</v>
      </c>
      <c r="J26" s="17"/>
      <c r="K26" s="17">
        <v>0</v>
      </c>
      <c r="L26" s="17"/>
      <c r="M26" s="17">
        <f t="shared" ref="M26:M29" si="3">I26+K26</f>
        <v>0</v>
      </c>
      <c r="N26" s="18"/>
      <c r="O26" s="17">
        <v>0</v>
      </c>
      <c r="P26" s="18"/>
      <c r="Q26" s="17">
        <f t="shared" ref="Q26:Q29" si="4">M26+O26</f>
        <v>0</v>
      </c>
      <c r="S26" s="10"/>
    </row>
    <row r="27" spans="1:20" ht="12.75">
      <c r="A27" s="77">
        <f t="shared" ref="A27:A30" si="5">A26+1</f>
        <v>9</v>
      </c>
      <c r="B27" s="10"/>
      <c r="C27" s="17" t="s">
        <v>170</v>
      </c>
      <c r="D27" s="17"/>
      <c r="E27" s="17">
        <f>'Current Tax B'!I55</f>
        <v>-53602725.772355169</v>
      </c>
      <c r="F27" s="17"/>
      <c r="G27" s="10">
        <f t="shared" si="2"/>
        <v>-10307571.484830946</v>
      </c>
      <c r="H27" s="17"/>
      <c r="I27" s="17">
        <f>'Current Tax F'!I59</f>
        <v>-63910297.257186115</v>
      </c>
      <c r="J27" s="17"/>
      <c r="K27" s="17">
        <v>0</v>
      </c>
      <c r="L27" s="17"/>
      <c r="M27" s="17">
        <f t="shared" si="3"/>
        <v>-63910297.257186115</v>
      </c>
      <c r="N27" s="17"/>
      <c r="O27" s="17">
        <v>0</v>
      </c>
      <c r="P27" s="17"/>
      <c r="Q27" s="17">
        <f t="shared" si="4"/>
        <v>-63910297.257186115</v>
      </c>
      <c r="S27" s="10"/>
    </row>
    <row r="28" spans="1:20" ht="12.75">
      <c r="A28" s="110">
        <f t="shared" si="5"/>
        <v>10</v>
      </c>
      <c r="B28" s="10"/>
      <c r="C28" s="17" t="s">
        <v>196</v>
      </c>
      <c r="D28" s="17"/>
      <c r="E28" s="17">
        <f>'Current Tax B'!I56</f>
        <v>-1919613.5079686651</v>
      </c>
      <c r="F28" s="17"/>
      <c r="G28" s="10">
        <f t="shared" si="2"/>
        <v>1254049.5573949981</v>
      </c>
      <c r="H28" s="17"/>
      <c r="I28" s="17">
        <f>'Current Tax F'!I60</f>
        <v>-665563.95057366695</v>
      </c>
      <c r="J28" s="17"/>
      <c r="K28" s="17">
        <v>0</v>
      </c>
      <c r="L28" s="17"/>
      <c r="M28" s="17">
        <f t="shared" si="3"/>
        <v>-665563.95057366695</v>
      </c>
      <c r="N28" s="17"/>
      <c r="O28" s="17">
        <v>0</v>
      </c>
      <c r="P28" s="17"/>
      <c r="Q28" s="17">
        <f t="shared" si="4"/>
        <v>-665563.95057366695</v>
      </c>
      <c r="S28" s="10"/>
    </row>
    <row r="29" spans="1:20" ht="12.75">
      <c r="A29" s="110">
        <f t="shared" si="5"/>
        <v>11</v>
      </c>
      <c r="B29" s="10"/>
      <c r="C29" s="17" t="s">
        <v>101</v>
      </c>
      <c r="D29" s="17"/>
      <c r="E29" s="19">
        <f>'Current Tax B'!I58-E26-E27-E28</f>
        <v>44912549.555563934</v>
      </c>
      <c r="F29" s="17"/>
      <c r="G29" s="19">
        <f t="shared" si="2"/>
        <v>-1086163.0741437227</v>
      </c>
      <c r="H29" s="17"/>
      <c r="I29" s="19">
        <f>'Current Tax F'!I62-I26-I27-I28</f>
        <v>43826386.481420211</v>
      </c>
      <c r="J29" s="17"/>
      <c r="K29" s="19">
        <v>0</v>
      </c>
      <c r="L29" s="17"/>
      <c r="M29" s="19">
        <f t="shared" si="3"/>
        <v>43826386.481420211</v>
      </c>
      <c r="N29" s="17"/>
      <c r="O29" s="19">
        <v>0</v>
      </c>
      <c r="P29" s="17"/>
      <c r="Q29" s="19">
        <f t="shared" si="4"/>
        <v>43826386.481420211</v>
      </c>
      <c r="S29" s="10"/>
    </row>
    <row r="30" spans="1:20" ht="12.75">
      <c r="A30" s="110">
        <f t="shared" si="5"/>
        <v>12</v>
      </c>
      <c r="B30" s="10"/>
      <c r="C30" s="17" t="s">
        <v>103</v>
      </c>
      <c r="D30" s="17" t="s">
        <v>247</v>
      </c>
      <c r="E30" s="17">
        <f>SUM(E26:E29)</f>
        <v>-11595651.724759899</v>
      </c>
      <c r="F30" s="17"/>
      <c r="G30" s="17">
        <f>SUM(G26:G29)</f>
        <v>-9153823.0015796702</v>
      </c>
      <c r="H30" s="17"/>
      <c r="I30" s="17">
        <f>SUM(I26:I29)</f>
        <v>-20749474.726339571</v>
      </c>
      <c r="J30" s="17"/>
      <c r="K30" s="17">
        <f>SUM(K26:K29)</f>
        <v>0</v>
      </c>
      <c r="L30" s="17"/>
      <c r="M30" s="17">
        <f>SUM(M26:M29)</f>
        <v>-20749474.726339571</v>
      </c>
      <c r="N30" s="17"/>
      <c r="O30" s="17">
        <f>SUM(O26:O29)</f>
        <v>0</v>
      </c>
      <c r="P30" s="17"/>
      <c r="Q30" s="17">
        <f>SUM(Q26:Q29)</f>
        <v>-20749474.726339571</v>
      </c>
      <c r="S30" s="10"/>
    </row>
    <row r="31" spans="1:20" ht="12.75">
      <c r="A31" s="77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7">
        <f>A30+1</f>
        <v>13</v>
      </c>
      <c r="B32" s="10"/>
      <c r="C32" s="17" t="s">
        <v>51</v>
      </c>
      <c r="D32" s="17" t="s">
        <v>211</v>
      </c>
      <c r="E32" s="17">
        <f>E19+E23+E30</f>
        <v>40923167.384420723</v>
      </c>
      <c r="F32" s="17"/>
      <c r="G32" s="17">
        <f>G19+G23+G30</f>
        <v>-18306693.844773032</v>
      </c>
      <c r="H32" s="17"/>
      <c r="I32" s="17">
        <f>I19+I23+I30</f>
        <v>22616473.539647691</v>
      </c>
      <c r="J32" s="17"/>
      <c r="K32" s="17">
        <f>K19+K23+K30</f>
        <v>295135.32</v>
      </c>
      <c r="L32" s="17"/>
      <c r="M32" s="17">
        <f>M19+M23+M30</f>
        <v>22911608.859647691</v>
      </c>
      <c r="N32" s="17"/>
      <c r="O32" s="17">
        <f>O19+O23+O30</f>
        <v>29867202</v>
      </c>
      <c r="P32" s="17"/>
      <c r="Q32" s="17">
        <f>Q19+Q23+Q30</f>
        <v>52778810.859647684</v>
      </c>
      <c r="S32" s="10"/>
    </row>
    <row r="33" spans="1:19" ht="12.75">
      <c r="A33" s="77">
        <f>A32+1</f>
        <v>14</v>
      </c>
      <c r="B33" s="10"/>
      <c r="C33" s="17" t="s">
        <v>102</v>
      </c>
      <c r="D33" s="17" t="s">
        <v>212</v>
      </c>
      <c r="E33" s="19">
        <f>-E61</f>
        <v>-570798.42151054542</v>
      </c>
      <c r="F33" s="10"/>
      <c r="G33" s="19">
        <f>-G61</f>
        <v>392259.58408189716</v>
      </c>
      <c r="H33" s="10"/>
      <c r="I33" s="19">
        <f>-I61</f>
        <v>-178538.83742864875</v>
      </c>
      <c r="J33" s="17"/>
      <c r="K33" s="19">
        <f>-K61</f>
        <v>-14756.766000000001</v>
      </c>
      <c r="L33" s="17"/>
      <c r="M33" s="19">
        <f>-M61</f>
        <v>-193295.60342864841</v>
      </c>
      <c r="N33" s="17"/>
      <c r="O33" s="19">
        <f>-O61</f>
        <v>-1493360.1</v>
      </c>
      <c r="P33" s="17"/>
      <c r="Q33" s="19">
        <f>-Q61</f>
        <v>-1686655.7034286484</v>
      </c>
      <c r="S33" s="10"/>
    </row>
    <row r="34" spans="1:19" ht="12.75">
      <c r="A34" s="77">
        <f>A33+1</f>
        <v>15</v>
      </c>
      <c r="B34" s="10"/>
      <c r="C34" s="28" t="s">
        <v>12</v>
      </c>
      <c r="D34" s="17" t="s">
        <v>213</v>
      </c>
      <c r="E34" s="17">
        <f>SUM(E32:E33)</f>
        <v>40352368.962910175</v>
      </c>
      <c r="F34" s="17"/>
      <c r="G34" s="17">
        <f>ROUND(SUM(G32:G33),2)</f>
        <v>-17914434.260000002</v>
      </c>
      <c r="H34" s="17"/>
      <c r="I34" s="17">
        <f>SUM(I32:I33)</f>
        <v>22437934.702219043</v>
      </c>
      <c r="J34" s="17"/>
      <c r="K34" s="17">
        <f>SUM(K32:K33)</f>
        <v>280378.554</v>
      </c>
      <c r="L34" s="17"/>
      <c r="M34" s="17">
        <f>SUM(M32:M33)</f>
        <v>22718313.256219044</v>
      </c>
      <c r="N34" s="17"/>
      <c r="O34" s="17">
        <f>SUM(O32:O33)</f>
        <v>28373841.899999999</v>
      </c>
      <c r="P34" s="17"/>
      <c r="Q34" s="17">
        <f>SUM(Q32:Q33)</f>
        <v>51092155.156219035</v>
      </c>
      <c r="S34" s="10"/>
    </row>
    <row r="35" spans="1:19" ht="12.75">
      <c r="A35" s="77">
        <f>A34+1</f>
        <v>16</v>
      </c>
      <c r="B35" s="10"/>
      <c r="C35" s="17" t="s">
        <v>53</v>
      </c>
      <c r="D35" s="17"/>
      <c r="E35" s="56">
        <v>0.21</v>
      </c>
      <c r="F35" s="17"/>
      <c r="G35" s="56">
        <f>$E$35</f>
        <v>0.21</v>
      </c>
      <c r="H35" s="17"/>
      <c r="I35" s="56">
        <f>$E$35</f>
        <v>0.21</v>
      </c>
      <c r="J35" s="17"/>
      <c r="K35" s="56">
        <f>$E$35</f>
        <v>0.21</v>
      </c>
      <c r="L35" s="17"/>
      <c r="M35" s="56">
        <f>$E$35</f>
        <v>0.21</v>
      </c>
      <c r="N35" s="17"/>
      <c r="O35" s="56">
        <f>$E$35</f>
        <v>0.21</v>
      </c>
      <c r="P35" s="17"/>
      <c r="Q35" s="56">
        <f>$E$35</f>
        <v>0.21</v>
      </c>
      <c r="S35" s="10"/>
    </row>
    <row r="36" spans="1:19" ht="12.75">
      <c r="A36" s="77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7">
        <f>A35+1</f>
        <v>17</v>
      </c>
      <c r="B37" s="10"/>
      <c r="C37" s="17" t="s">
        <v>84</v>
      </c>
      <c r="D37" s="17" t="s">
        <v>214</v>
      </c>
      <c r="E37" s="17">
        <f>E34*E35</f>
        <v>8473997.4822111372</v>
      </c>
      <c r="F37" s="17"/>
      <c r="G37" s="17">
        <f>ROUND(G34*G35,2)</f>
        <v>-3762031.19</v>
      </c>
      <c r="H37" s="17"/>
      <c r="I37" s="17">
        <f>I34*I35</f>
        <v>4711966.2874659989</v>
      </c>
      <c r="J37" s="17"/>
      <c r="K37" s="17">
        <f>K34*K35</f>
        <v>58879.496339999998</v>
      </c>
      <c r="L37" s="17"/>
      <c r="M37" s="17">
        <f>M34*M35</f>
        <v>4770845.783805999</v>
      </c>
      <c r="N37" s="17"/>
      <c r="O37" s="17">
        <f>O34*O35</f>
        <v>5958506.7989999996</v>
      </c>
      <c r="P37" s="17"/>
      <c r="Q37" s="17">
        <f>Q34*Q35</f>
        <v>10729352.582805997</v>
      </c>
      <c r="S37" s="10"/>
    </row>
    <row r="38" spans="1:19" ht="12.75">
      <c r="A38" s="83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77">
        <f>A37+1</f>
        <v>18</v>
      </c>
      <c r="B39" s="10"/>
      <c r="C39" s="17" t="s">
        <v>85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77">
        <f t="shared" ref="A40:A42" si="6">A39+1</f>
        <v>19</v>
      </c>
      <c r="B40" s="10"/>
      <c r="C40" s="17" t="s">
        <v>88</v>
      </c>
      <c r="D40" s="17"/>
      <c r="E40" s="17">
        <f>'Current Tax B'!I69</f>
        <v>0</v>
      </c>
      <c r="F40" s="17"/>
      <c r="G40" s="10">
        <f t="shared" ref="G40:G41" si="7">I40-E40</f>
        <v>0</v>
      </c>
      <c r="H40" s="17"/>
      <c r="I40" s="17">
        <f>'Current Tax F'!I73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1" si="8">M40+O40</f>
        <v>0</v>
      </c>
      <c r="S40" s="10"/>
    </row>
    <row r="41" spans="1:19" ht="12.75">
      <c r="A41" s="77">
        <f t="shared" si="6"/>
        <v>20</v>
      </c>
      <c r="B41" s="10"/>
      <c r="C41" s="38" t="s">
        <v>126</v>
      </c>
      <c r="D41" s="17"/>
      <c r="E41" s="19">
        <f>'Current Tax B'!I70</f>
        <v>-1332928.76</v>
      </c>
      <c r="F41" s="17"/>
      <c r="G41" s="19">
        <f t="shared" si="7"/>
        <v>1332928.76</v>
      </c>
      <c r="H41" s="17"/>
      <c r="I41" s="19">
        <f>'Current Tax F'!I74</f>
        <v>0</v>
      </c>
      <c r="J41" s="17"/>
      <c r="K41" s="19">
        <v>0</v>
      </c>
      <c r="L41" s="17"/>
      <c r="M41" s="19">
        <f>I41+K41</f>
        <v>0</v>
      </c>
      <c r="N41" s="17"/>
      <c r="O41" s="19">
        <v>0</v>
      </c>
      <c r="P41" s="17"/>
      <c r="Q41" s="19">
        <f t="shared" si="8"/>
        <v>0</v>
      </c>
      <c r="S41" s="10"/>
    </row>
    <row r="42" spans="1:19" ht="13.5" thickBot="1">
      <c r="A42" s="77">
        <f t="shared" si="6"/>
        <v>21</v>
      </c>
      <c r="B42" s="10"/>
      <c r="C42" s="17" t="s">
        <v>54</v>
      </c>
      <c r="D42" s="17" t="s">
        <v>215</v>
      </c>
      <c r="E42" s="43">
        <f>SUM(E37:E41)</f>
        <v>7141068.7222111374</v>
      </c>
      <c r="F42" s="17"/>
      <c r="G42" s="43">
        <f>SUM(G37:G41)</f>
        <v>-2429102.4299999997</v>
      </c>
      <c r="H42" s="17"/>
      <c r="I42" s="43">
        <f>SUM(I37:I41)</f>
        <v>4711966.2874659989</v>
      </c>
      <c r="J42" s="17"/>
      <c r="K42" s="43">
        <f>SUM(K37:K41)</f>
        <v>58879.496339999998</v>
      </c>
      <c r="L42" s="17"/>
      <c r="M42" s="43">
        <f>SUM(M37:M41)</f>
        <v>4770845.783805999</v>
      </c>
      <c r="N42" s="17"/>
      <c r="O42" s="43">
        <f>SUM(O37:O41)</f>
        <v>5958506.7989999996</v>
      </c>
      <c r="P42" s="17"/>
      <c r="Q42" s="43">
        <f>SUM(Q37:Q41)</f>
        <v>10729352.582805997</v>
      </c>
      <c r="S42" s="10"/>
    </row>
    <row r="43" spans="1:19" ht="13.5" thickTop="1">
      <c r="A43" s="77"/>
      <c r="B43" s="10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S43" s="10"/>
    </row>
    <row r="44" spans="1:19" ht="12.75">
      <c r="A44" s="77">
        <f>A42+1</f>
        <v>22</v>
      </c>
      <c r="B44" s="10"/>
      <c r="C44" s="17" t="s">
        <v>55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77">
        <f>A44+1</f>
        <v>23</v>
      </c>
      <c r="B45" s="10"/>
      <c r="C45" s="17" t="s">
        <v>12</v>
      </c>
      <c r="D45" s="17" t="s">
        <v>216</v>
      </c>
      <c r="E45" s="17">
        <f>E32</f>
        <v>40923167.384420723</v>
      </c>
      <c r="F45" s="17"/>
      <c r="G45" s="17">
        <f>G32</f>
        <v>-18306693.844773032</v>
      </c>
      <c r="H45" s="17"/>
      <c r="I45" s="17">
        <f>I32</f>
        <v>22616473.539647691</v>
      </c>
      <c r="J45" s="17"/>
      <c r="K45" s="17">
        <f>K32</f>
        <v>295135.32</v>
      </c>
      <c r="L45" s="17"/>
      <c r="M45" s="17">
        <f>M32</f>
        <v>22911608.859647691</v>
      </c>
      <c r="N45" s="17"/>
      <c r="O45" s="17">
        <f>O32</f>
        <v>29867202</v>
      </c>
      <c r="P45" s="17"/>
      <c r="Q45" s="17">
        <f>Q32</f>
        <v>52778810.859647684</v>
      </c>
      <c r="S45" s="10"/>
    </row>
    <row r="46" spans="1:19" ht="12.75">
      <c r="A46" s="108">
        <f t="shared" ref="A46:A53" si="9">A45+1</f>
        <v>24</v>
      </c>
      <c r="B46" s="10"/>
      <c r="C46" s="17" t="s">
        <v>56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7"/>
      <c r="P46" s="18"/>
      <c r="Q46" s="17"/>
      <c r="S46" s="10"/>
    </row>
    <row r="47" spans="1:19" ht="12.75">
      <c r="A47" s="110">
        <f t="shared" si="9"/>
        <v>25</v>
      </c>
      <c r="B47" s="10"/>
      <c r="C47" s="17" t="s">
        <v>87</v>
      </c>
      <c r="D47" s="17"/>
      <c r="E47" s="17">
        <f>-E26</f>
        <v>985862</v>
      </c>
      <c r="F47" s="17"/>
      <c r="G47" s="17">
        <f t="shared" ref="G47:G51" si="10">I47-E47</f>
        <v>-985862</v>
      </c>
      <c r="H47" s="17"/>
      <c r="I47" s="17">
        <f>-I26</f>
        <v>0</v>
      </c>
      <c r="J47" s="17"/>
      <c r="K47" s="17">
        <v>0</v>
      </c>
      <c r="L47" s="17"/>
      <c r="M47" s="17">
        <f t="shared" ref="M47:M51" si="11">I47+K47</f>
        <v>0</v>
      </c>
      <c r="N47" s="17"/>
      <c r="O47" s="17">
        <v>0</v>
      </c>
      <c r="P47" s="17"/>
      <c r="Q47" s="17">
        <f t="shared" ref="Q47:Q51" si="12">M47+O47</f>
        <v>0</v>
      </c>
      <c r="S47" s="10"/>
    </row>
    <row r="48" spans="1:19" ht="12.75">
      <c r="A48" s="110">
        <f t="shared" si="9"/>
        <v>26</v>
      </c>
      <c r="B48" s="10"/>
      <c r="C48" s="17" t="s">
        <v>57</v>
      </c>
      <c r="D48" s="17"/>
      <c r="E48" s="17">
        <f>-E27</f>
        <v>53602725.772355169</v>
      </c>
      <c r="F48" s="17"/>
      <c r="G48" s="17">
        <f t="shared" si="10"/>
        <v>10307571.484830946</v>
      </c>
      <c r="H48" s="17"/>
      <c r="I48" s="17">
        <f>-I27</f>
        <v>63910297.257186115</v>
      </c>
      <c r="J48" s="17"/>
      <c r="K48" s="17">
        <v>0</v>
      </c>
      <c r="L48" s="17"/>
      <c r="M48" s="17">
        <f t="shared" si="11"/>
        <v>63910297.257186115</v>
      </c>
      <c r="N48" s="18"/>
      <c r="O48" s="17">
        <v>0</v>
      </c>
      <c r="P48" s="18"/>
      <c r="Q48" s="17">
        <f t="shared" si="12"/>
        <v>63910297.257186115</v>
      </c>
      <c r="S48" s="10"/>
    </row>
    <row r="49" spans="1:19" ht="12.75">
      <c r="A49" s="110">
        <f t="shared" si="9"/>
        <v>27</v>
      </c>
      <c r="B49" s="10"/>
      <c r="C49" s="17" t="s">
        <v>201</v>
      </c>
      <c r="D49" s="17"/>
      <c r="E49" s="17">
        <f>-E28</f>
        <v>1919613.5079686651</v>
      </c>
      <c r="F49" s="17"/>
      <c r="G49" s="17">
        <f t="shared" si="10"/>
        <v>-1254049.5573949981</v>
      </c>
      <c r="H49" s="17"/>
      <c r="I49" s="17">
        <f>-I28</f>
        <v>665563.95057366695</v>
      </c>
      <c r="J49" s="17"/>
      <c r="K49" s="17">
        <v>0</v>
      </c>
      <c r="L49" s="17"/>
      <c r="M49" s="17">
        <f t="shared" si="11"/>
        <v>665563.95057366695</v>
      </c>
      <c r="N49" s="18"/>
      <c r="O49" s="17">
        <v>0</v>
      </c>
      <c r="P49" s="18"/>
      <c r="Q49" s="17">
        <f t="shared" si="12"/>
        <v>665563.95057366695</v>
      </c>
      <c r="S49" s="10"/>
    </row>
    <row r="50" spans="1:19" ht="12.75">
      <c r="A50" s="110">
        <f t="shared" si="9"/>
        <v>28</v>
      </c>
      <c r="B50" s="10"/>
      <c r="C50" s="17" t="s">
        <v>202</v>
      </c>
      <c r="D50" s="17"/>
      <c r="E50" s="17">
        <f>'Current Tax B'!I79</f>
        <v>-1908786.3392518479</v>
      </c>
      <c r="F50" s="17"/>
      <c r="G50" s="17">
        <f t="shared" si="10"/>
        <v>1212237.0396285639</v>
      </c>
      <c r="H50" s="17"/>
      <c r="I50" s="17">
        <f>'Current Tax F'!I83</f>
        <v>-696549.29962328402</v>
      </c>
      <c r="J50" s="17"/>
      <c r="K50" s="17">
        <v>0</v>
      </c>
      <c r="L50" s="17"/>
      <c r="M50" s="17">
        <f t="shared" si="11"/>
        <v>-696549.29962328402</v>
      </c>
      <c r="N50" s="18"/>
      <c r="O50" s="17">
        <v>0</v>
      </c>
      <c r="P50" s="18"/>
      <c r="Q50" s="17">
        <f t="shared" si="12"/>
        <v>-696549.29962328402</v>
      </c>
      <c r="S50" s="10"/>
    </row>
    <row r="51" spans="1:19" ht="12.75">
      <c r="A51" s="110">
        <f t="shared" si="9"/>
        <v>29</v>
      </c>
      <c r="B51" s="10"/>
      <c r="C51" s="17" t="s">
        <v>58</v>
      </c>
      <c r="D51" s="17"/>
      <c r="E51" s="19">
        <f>'Current Tax B'!I80</f>
        <v>-74134741.695281804</v>
      </c>
      <c r="F51" s="17"/>
      <c r="G51" s="19">
        <f t="shared" si="10"/>
        <v>-4017983.0452420115</v>
      </c>
      <c r="H51" s="17"/>
      <c r="I51" s="19">
        <f>'Current Tax F'!I84</f>
        <v>-78152724.740523815</v>
      </c>
      <c r="J51" s="17"/>
      <c r="K51" s="19">
        <v>0</v>
      </c>
      <c r="L51" s="17"/>
      <c r="M51" s="19">
        <f t="shared" si="11"/>
        <v>-78152724.740523815</v>
      </c>
      <c r="N51" s="18"/>
      <c r="O51" s="19">
        <v>0</v>
      </c>
      <c r="P51" s="18"/>
      <c r="Q51" s="19">
        <f t="shared" si="12"/>
        <v>-78152724.740523815</v>
      </c>
      <c r="S51" s="10"/>
    </row>
    <row r="52" spans="1:19" ht="12.75">
      <c r="A52" s="110">
        <f t="shared" si="9"/>
        <v>30</v>
      </c>
      <c r="B52" s="10"/>
      <c r="C52" s="17" t="s">
        <v>11</v>
      </c>
      <c r="D52" s="17" t="s">
        <v>217</v>
      </c>
      <c r="E52" s="17">
        <f>SUM(E45:E51)</f>
        <v>21387840.630210906</v>
      </c>
      <c r="F52" s="17"/>
      <c r="G52" s="17">
        <f>SUM(G45:G51)</f>
        <v>-13044779.922950532</v>
      </c>
      <c r="H52" s="17"/>
      <c r="I52" s="17">
        <f>SUM(I45:I51)</f>
        <v>8343060.7072603852</v>
      </c>
      <c r="J52" s="17"/>
      <c r="K52" s="17">
        <f>SUM(K45:K51)</f>
        <v>295135.32</v>
      </c>
      <c r="L52" s="17"/>
      <c r="M52" s="17">
        <f>SUM(M45:M51)</f>
        <v>8638196.027260378</v>
      </c>
      <c r="N52" s="17"/>
      <c r="O52" s="17">
        <f>SUM(O45:O51)</f>
        <v>29867202</v>
      </c>
      <c r="P52" s="17"/>
      <c r="Q52" s="17">
        <f>SUM(Q45:Q51)</f>
        <v>38505398.027260378</v>
      </c>
      <c r="S52" s="10"/>
    </row>
    <row r="53" spans="1:19" ht="12.75">
      <c r="A53" s="110">
        <f t="shared" si="9"/>
        <v>31</v>
      </c>
      <c r="B53" s="10"/>
      <c r="C53" s="17" t="s">
        <v>61</v>
      </c>
      <c r="D53" s="17"/>
      <c r="E53" s="56">
        <v>0.05</v>
      </c>
      <c r="F53" s="17"/>
      <c r="G53" s="56">
        <v>0.05</v>
      </c>
      <c r="H53" s="17"/>
      <c r="I53" s="56">
        <v>0.05</v>
      </c>
      <c r="J53" s="17"/>
      <c r="K53" s="56">
        <v>0.05</v>
      </c>
      <c r="L53" s="17"/>
      <c r="M53" s="56">
        <v>0.05</v>
      </c>
      <c r="N53" s="17"/>
      <c r="O53" s="56">
        <v>0.05</v>
      </c>
      <c r="P53" s="17"/>
      <c r="Q53" s="56">
        <v>0.05</v>
      </c>
      <c r="S53" s="10"/>
    </row>
    <row r="54" spans="1:19" ht="12.75">
      <c r="A54" s="77"/>
      <c r="B54" s="10"/>
      <c r="C54" s="17"/>
      <c r="D54" s="17"/>
      <c r="E54" s="18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8"/>
      <c r="Q54" s="18"/>
      <c r="S54" s="10"/>
    </row>
    <row r="55" spans="1:19" ht="12.75">
      <c r="A55" s="77">
        <f>A53+1</f>
        <v>32</v>
      </c>
      <c r="B55" s="10"/>
      <c r="C55" s="28" t="s">
        <v>62</v>
      </c>
      <c r="D55" s="17" t="s">
        <v>176</v>
      </c>
      <c r="E55" s="17">
        <f>E52*E53</f>
        <v>1069392.0315105454</v>
      </c>
      <c r="F55" s="17"/>
      <c r="G55" s="17">
        <f>G52*G53</f>
        <v>-652238.99614752666</v>
      </c>
      <c r="H55" s="17"/>
      <c r="I55" s="17">
        <f>I52*I53</f>
        <v>417153.03536301927</v>
      </c>
      <c r="J55" s="17"/>
      <c r="K55" s="17">
        <f>K52*K53</f>
        <v>14756.766000000001</v>
      </c>
      <c r="L55" s="17"/>
      <c r="M55" s="17">
        <f>M52*M53</f>
        <v>431909.80136301892</v>
      </c>
      <c r="N55" s="17"/>
      <c r="O55" s="17">
        <f>O52*O53</f>
        <v>1493360.1</v>
      </c>
      <c r="P55" s="17"/>
      <c r="Q55" s="17">
        <f>Q52*Q53</f>
        <v>1925269.9013630189</v>
      </c>
      <c r="S55" s="10"/>
    </row>
    <row r="56" spans="1:19" ht="12.75">
      <c r="A56" s="77"/>
      <c r="B56" s="10"/>
      <c r="C56" s="2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10"/>
    </row>
    <row r="57" spans="1:19" ht="12.75">
      <c r="A57" s="77">
        <f>A55+1</f>
        <v>33</v>
      </c>
      <c r="B57" s="10"/>
      <c r="C57" s="28" t="s">
        <v>63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 ht="12.75">
      <c r="A58" s="133">
        <f>A57+1</f>
        <v>34</v>
      </c>
      <c r="B58" s="10"/>
      <c r="C58" s="28" t="s">
        <v>203</v>
      </c>
      <c r="D58" s="17"/>
      <c r="E58" s="17">
        <f>'Current Tax B'!I91</f>
        <v>-182516.5</v>
      </c>
      <c r="F58" s="17"/>
      <c r="G58" s="17">
        <f t="shared" ref="G58:G60" si="13">I58-E58</f>
        <v>-56097.697934370517</v>
      </c>
      <c r="H58" s="17"/>
      <c r="I58" s="17">
        <f>'Current Tax F'!I95</f>
        <v>-238614.19793437052</v>
      </c>
      <c r="J58" s="17"/>
      <c r="K58" s="17">
        <v>0</v>
      </c>
      <c r="L58" s="17"/>
      <c r="M58" s="17">
        <f t="shared" ref="M58:M60" si="14">I58+K58</f>
        <v>-238614.19793437052</v>
      </c>
      <c r="N58" s="17"/>
      <c r="O58" s="17">
        <v>0</v>
      </c>
      <c r="P58" s="17"/>
      <c r="Q58" s="17">
        <f t="shared" ref="Q58:Q60" si="15">M58+O58</f>
        <v>-238614.19793437052</v>
      </c>
      <c r="S58" s="10"/>
    </row>
    <row r="59" spans="1:19" ht="12.75">
      <c r="A59" s="110">
        <f>A58+1</f>
        <v>35</v>
      </c>
      <c r="B59" s="10"/>
      <c r="C59" s="38" t="s">
        <v>88</v>
      </c>
      <c r="D59" s="17"/>
      <c r="E59" s="17">
        <f>'Current Tax B'!I92</f>
        <v>0</v>
      </c>
      <c r="F59" s="17"/>
      <c r="G59" s="17">
        <f t="shared" si="13"/>
        <v>0</v>
      </c>
      <c r="H59" s="17"/>
      <c r="I59" s="17">
        <f>'Current Tax F'!I96</f>
        <v>0</v>
      </c>
      <c r="J59" s="17"/>
      <c r="K59" s="17">
        <v>0</v>
      </c>
      <c r="L59" s="17"/>
      <c r="M59" s="17">
        <f t="shared" si="14"/>
        <v>0</v>
      </c>
      <c r="N59" s="17"/>
      <c r="O59" s="17">
        <v>0</v>
      </c>
      <c r="P59" s="17"/>
      <c r="Q59" s="17">
        <f t="shared" si="15"/>
        <v>0</v>
      </c>
      <c r="S59" s="10"/>
    </row>
    <row r="60" spans="1:19" ht="12.75">
      <c r="A60" s="77">
        <f t="shared" ref="A60:A61" si="16">A59+1</f>
        <v>36</v>
      </c>
      <c r="B60" s="17"/>
      <c r="C60" s="38" t="s">
        <v>126</v>
      </c>
      <c r="D60" s="17"/>
      <c r="E60" s="17">
        <f>'Current Tax B'!I93</f>
        <v>-316077.11</v>
      </c>
      <c r="F60" s="17"/>
      <c r="G60" s="19">
        <f t="shared" si="13"/>
        <v>316077.11</v>
      </c>
      <c r="H60" s="17"/>
      <c r="I60" s="19">
        <f>'Current Tax F'!I97</f>
        <v>0</v>
      </c>
      <c r="J60" s="17"/>
      <c r="K60" s="19">
        <v>0</v>
      </c>
      <c r="L60" s="17"/>
      <c r="M60" s="19">
        <f t="shared" si="14"/>
        <v>0</v>
      </c>
      <c r="N60" s="55"/>
      <c r="O60" s="19">
        <v>0</v>
      </c>
      <c r="P60" s="55"/>
      <c r="Q60" s="19">
        <f t="shared" si="15"/>
        <v>0</v>
      </c>
      <c r="S60" s="10"/>
    </row>
    <row r="61" spans="1:19" ht="13.5" thickBot="1">
      <c r="A61" s="77">
        <f t="shared" si="16"/>
        <v>37</v>
      </c>
      <c r="B61" s="10"/>
      <c r="C61" s="28" t="s">
        <v>65</v>
      </c>
      <c r="D61" s="10" t="s">
        <v>249</v>
      </c>
      <c r="E61" s="43">
        <f>SUM(E55:E60)</f>
        <v>570798.42151054542</v>
      </c>
      <c r="F61" s="17"/>
      <c r="G61" s="43">
        <f>SUM(G55:G60)</f>
        <v>-392259.58408189716</v>
      </c>
      <c r="H61" s="17"/>
      <c r="I61" s="43">
        <f>SUM(I55:I60)</f>
        <v>178538.83742864875</v>
      </c>
      <c r="J61" s="17"/>
      <c r="K61" s="43">
        <f>SUM(K55:K60)</f>
        <v>14756.766000000001</v>
      </c>
      <c r="L61" s="17"/>
      <c r="M61" s="43">
        <f>SUM(M55:M60)</f>
        <v>193295.60342864841</v>
      </c>
      <c r="N61" s="17"/>
      <c r="O61" s="43">
        <f>SUM(O55:O60)</f>
        <v>1493360.1</v>
      </c>
      <c r="P61" s="17"/>
      <c r="Q61" s="43">
        <f>SUM(Q55:Q60)</f>
        <v>1686655.7034286484</v>
      </c>
      <c r="S61" s="10"/>
    </row>
    <row r="62" spans="1:19" ht="13.5" thickTop="1">
      <c r="A62" s="146" t="str">
        <f>A$1</f>
        <v>LOUISVILLE GAS AND ELECTRIC COMPANY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S62" s="10"/>
    </row>
    <row r="63" spans="1:19" ht="12.75">
      <c r="A63" s="146" t="str">
        <f>A$2</f>
        <v>CASE NO. 2020-00350 - GAS OPERATIONS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S63" s="10"/>
    </row>
    <row r="64" spans="1:19" ht="12.75">
      <c r="A64" s="146" t="str">
        <f>A$3</f>
        <v>COMPUTATION OF FEDERAL AND STATE INCOME TAX - GAS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S64" s="10"/>
    </row>
    <row r="65" spans="1:19" ht="12.75">
      <c r="A65" s="146" t="str">
        <f>A$4</f>
        <v>FOR THE BASE PERIOD TME FEBRUARY 28, 2021 AND FORECAST PERIOD TME JUNE 30, 2022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22"/>
      <c r="S65" s="10"/>
    </row>
    <row r="66" spans="1:19" s="20" customFormat="1" ht="12.75">
      <c r="A66" s="7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S66" s="77"/>
    </row>
    <row r="67" spans="1:19" s="20" customFormat="1" ht="12.75">
      <c r="A67" s="79" t="str">
        <f>A$6</f>
        <v>DATA:__X__BASE  PERIOD__X__FORECASTED  PERIOD</v>
      </c>
      <c r="B67" s="10"/>
      <c r="C67" s="10"/>
      <c r="D67" s="10"/>
      <c r="E67" s="10"/>
      <c r="F67" s="10"/>
      <c r="G67" s="10"/>
      <c r="H67" s="11"/>
      <c r="J67" s="10"/>
      <c r="K67" s="10"/>
      <c r="L67" s="11"/>
      <c r="N67" s="13"/>
      <c r="O67" s="13"/>
      <c r="P67" s="13"/>
      <c r="Q67" s="13" t="str">
        <f>Q$6</f>
        <v>SCHEDULE E-1</v>
      </c>
      <c r="S67" s="77"/>
    </row>
    <row r="68" spans="1:19" s="20" customFormat="1" ht="12.75">
      <c r="A68" s="79" t="str">
        <f>A$7</f>
        <v>TYPE OF FILING: __X__ ORIGINAL  _____ UPDATED  _____ REVISED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">
        <v>114</v>
      </c>
      <c r="S68" s="77"/>
    </row>
    <row r="69" spans="1:19" s="20" customFormat="1" ht="12.75">
      <c r="A69" s="107" t="str">
        <f>A$8</f>
        <v xml:space="preserve">WORKPAPER REFERENCE NO(S).: </v>
      </c>
      <c r="B69" s="17"/>
      <c r="C69" s="17"/>
      <c r="D69" s="17"/>
      <c r="E69" s="17"/>
      <c r="F69" s="17"/>
      <c r="G69" s="17"/>
      <c r="H69" s="21"/>
      <c r="I69" s="82"/>
      <c r="J69" s="17"/>
      <c r="K69" s="17"/>
      <c r="L69" s="21"/>
      <c r="M69" s="82"/>
      <c r="N69" s="106"/>
      <c r="O69" s="106"/>
      <c r="P69" s="106"/>
      <c r="Q69" s="106" t="str">
        <f>Q$8</f>
        <v>WITNESS:   C. M. GARRETT</v>
      </c>
      <c r="S69" s="77"/>
    </row>
    <row r="70" spans="1:19" ht="12.75">
      <c r="A70" s="8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9" s="20" customFormat="1" ht="12.75">
      <c r="A71" s="77"/>
      <c r="B71" s="77"/>
      <c r="C71" s="77"/>
      <c r="D71" s="77"/>
      <c r="E71" s="145" t="s">
        <v>97</v>
      </c>
      <c r="F71" s="145"/>
      <c r="G71" s="145"/>
      <c r="H71" s="145"/>
      <c r="I71" s="145"/>
      <c r="J71" s="145"/>
      <c r="K71" s="145"/>
      <c r="L71" s="145"/>
      <c r="M71" s="145"/>
      <c r="N71" s="14"/>
      <c r="O71" s="78"/>
      <c r="P71" s="78" t="s">
        <v>98</v>
      </c>
      <c r="Q71" s="78"/>
      <c r="S71" s="77"/>
    </row>
    <row r="72" spans="1:19" s="20" customFormat="1" ht="12.7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 t="s">
        <v>93</v>
      </c>
      <c r="N72" s="14"/>
      <c r="O72" s="77"/>
      <c r="P72" s="77"/>
      <c r="Q72" s="77"/>
      <c r="S72" s="77"/>
    </row>
    <row r="73" spans="1:19" s="20" customFormat="1" ht="12.75">
      <c r="A73" s="77" t="s">
        <v>95</v>
      </c>
      <c r="B73" s="77"/>
      <c r="C73" s="77"/>
      <c r="D73" s="77"/>
      <c r="E73" s="77" t="s">
        <v>91</v>
      </c>
      <c r="F73" s="77"/>
      <c r="G73" s="77"/>
      <c r="H73" s="77"/>
      <c r="I73" s="77" t="s">
        <v>94</v>
      </c>
      <c r="J73" s="77"/>
      <c r="K73" s="77" t="s">
        <v>93</v>
      </c>
      <c r="L73" s="77"/>
      <c r="M73" s="77" t="s">
        <v>94</v>
      </c>
      <c r="N73" s="14"/>
      <c r="O73" s="77"/>
      <c r="P73" s="77"/>
      <c r="Q73" s="77" t="s">
        <v>94</v>
      </c>
      <c r="S73" s="77"/>
    </row>
    <row r="74" spans="1:19" s="20" customFormat="1" ht="12.75">
      <c r="A74" s="15" t="s">
        <v>96</v>
      </c>
      <c r="B74" s="78"/>
      <c r="C74" s="15" t="s">
        <v>4</v>
      </c>
      <c r="D74" s="78"/>
      <c r="E74" s="15" t="s">
        <v>92</v>
      </c>
      <c r="F74" s="78"/>
      <c r="G74" s="15" t="s">
        <v>36</v>
      </c>
      <c r="H74" s="78"/>
      <c r="I74" s="15" t="s">
        <v>92</v>
      </c>
      <c r="J74" s="78"/>
      <c r="K74" s="15" t="s">
        <v>36</v>
      </c>
      <c r="L74" s="78"/>
      <c r="M74" s="15" t="s">
        <v>92</v>
      </c>
      <c r="N74" s="14"/>
      <c r="O74" s="15" t="s">
        <v>36</v>
      </c>
      <c r="P74" s="15"/>
      <c r="Q74" s="15" t="s">
        <v>92</v>
      </c>
      <c r="S74" s="77"/>
    </row>
    <row r="75" spans="1:19" s="20" customFormat="1" ht="12.75">
      <c r="A75" s="77"/>
      <c r="B75" s="77"/>
      <c r="C75" s="77"/>
      <c r="D75" s="77"/>
      <c r="E75" s="77">
        <v>-1</v>
      </c>
      <c r="F75" s="77">
        <v>-2</v>
      </c>
      <c r="G75" s="77">
        <v>-2</v>
      </c>
      <c r="H75" s="77"/>
      <c r="I75" s="77">
        <v>-3</v>
      </c>
      <c r="J75" s="77"/>
      <c r="K75" s="77">
        <v>-4</v>
      </c>
      <c r="L75" s="77"/>
      <c r="M75" s="77">
        <v>-5</v>
      </c>
      <c r="N75" s="14"/>
      <c r="O75" s="16">
        <v>-6</v>
      </c>
      <c r="P75" s="14"/>
      <c r="Q75" s="16">
        <v>-7</v>
      </c>
      <c r="S75" s="77"/>
    </row>
    <row r="76" spans="1:19" s="20" customFormat="1" ht="12.75">
      <c r="A76" s="77"/>
      <c r="B76" s="77"/>
      <c r="C76" s="77"/>
      <c r="D76" s="77"/>
      <c r="E76" s="77" t="s">
        <v>7</v>
      </c>
      <c r="F76" s="77"/>
      <c r="G76" s="77" t="s">
        <v>7</v>
      </c>
      <c r="H76" s="77"/>
      <c r="I76" s="77" t="s">
        <v>7</v>
      </c>
      <c r="J76" s="77"/>
      <c r="K76" s="77" t="s">
        <v>7</v>
      </c>
      <c r="L76" s="77"/>
      <c r="M76" s="77" t="s">
        <v>7</v>
      </c>
      <c r="N76" s="14"/>
      <c r="O76" s="77" t="s">
        <v>7</v>
      </c>
      <c r="P76" s="14"/>
      <c r="Q76" s="77" t="s">
        <v>7</v>
      </c>
      <c r="S76" s="77"/>
    </row>
    <row r="77" spans="1:19" ht="12.75">
      <c r="A77" s="77">
        <f>A61+1</f>
        <v>38</v>
      </c>
      <c r="B77" s="10"/>
      <c r="C77" s="48" t="s">
        <v>66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S77" s="10"/>
    </row>
    <row r="78" spans="1:19" ht="12.75">
      <c r="A78" s="77"/>
      <c r="B78" s="10"/>
      <c r="C78" s="48" t="s">
        <v>117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 ht="12.75">
      <c r="A79" s="77"/>
      <c r="B79" s="10"/>
      <c r="C79" s="4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 ht="12.75">
      <c r="A80" s="77">
        <f>A77+1</f>
        <v>39</v>
      </c>
      <c r="B80" s="10"/>
      <c r="C80" s="10" t="s">
        <v>108</v>
      </c>
      <c r="D80" s="10"/>
      <c r="E80" s="1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S80" s="10"/>
    </row>
    <row r="81" spans="1:19" ht="12.75">
      <c r="A81" s="77">
        <f>A80+1</f>
        <v>40</v>
      </c>
      <c r="B81" s="10"/>
      <c r="C81" s="10" t="s">
        <v>106</v>
      </c>
      <c r="D81" s="10"/>
      <c r="E81" s="19">
        <f>'Deferred Tax B'!I13</f>
        <v>-2218</v>
      </c>
      <c r="F81" s="17"/>
      <c r="G81" s="19">
        <f>I81-E81</f>
        <v>1634</v>
      </c>
      <c r="H81" s="17"/>
      <c r="I81" s="19">
        <f>'Deferred Tax F'!I13</f>
        <v>-584</v>
      </c>
      <c r="J81" s="17"/>
      <c r="K81" s="17"/>
      <c r="L81" s="17"/>
      <c r="M81" s="19">
        <f>I81+K81</f>
        <v>-584</v>
      </c>
      <c r="N81" s="18"/>
      <c r="O81" s="17"/>
      <c r="P81" s="18"/>
      <c r="Q81" s="19">
        <f>M81+O81</f>
        <v>-584</v>
      </c>
      <c r="S81" s="10"/>
    </row>
    <row r="82" spans="1:19" ht="12.75">
      <c r="A82" s="77">
        <f>A81+1</f>
        <v>41</v>
      </c>
      <c r="B82" s="10"/>
      <c r="C82" s="10" t="s">
        <v>70</v>
      </c>
      <c r="D82" s="10" t="s">
        <v>248</v>
      </c>
      <c r="E82" s="17">
        <f>SUM(E81)</f>
        <v>-2218</v>
      </c>
      <c r="F82" s="17"/>
      <c r="G82" s="17">
        <f>SUM(G81)</f>
        <v>1634</v>
      </c>
      <c r="H82" s="17"/>
      <c r="I82" s="17">
        <f>SUM(I81)</f>
        <v>-584</v>
      </c>
      <c r="J82" s="17"/>
      <c r="K82" s="17"/>
      <c r="L82" s="17"/>
      <c r="M82" s="17">
        <f>SUM(M81)</f>
        <v>-584</v>
      </c>
      <c r="N82" s="18"/>
      <c r="O82" s="17"/>
      <c r="P82" s="18"/>
      <c r="Q82" s="17">
        <f>SUM(Q81)</f>
        <v>-584</v>
      </c>
      <c r="S82" s="10"/>
    </row>
    <row r="83" spans="1:19" ht="12.75">
      <c r="A83" s="77"/>
      <c r="B83" s="10"/>
      <c r="C83" s="10"/>
      <c r="D83" s="10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8"/>
      <c r="Q83" s="17"/>
      <c r="S83" s="10"/>
    </row>
    <row r="84" spans="1:19" ht="12.75">
      <c r="A84" s="77">
        <f>A82+1</f>
        <v>42</v>
      </c>
      <c r="B84" s="10"/>
      <c r="C84" s="10" t="s">
        <v>107</v>
      </c>
      <c r="D84" s="10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S84" s="10"/>
    </row>
    <row r="85" spans="1:19" ht="12.75">
      <c r="A85" s="77">
        <f>A84+1</f>
        <v>43</v>
      </c>
      <c r="B85" s="10"/>
      <c r="C85" s="50" t="s">
        <v>47</v>
      </c>
      <c r="D85" s="50"/>
      <c r="E85" s="17">
        <f>SUM('Deferred Tax B'!I17:I20)</f>
        <v>-2667.240308557055</v>
      </c>
      <c r="F85" s="17"/>
      <c r="G85" s="17">
        <f>I85-E85</f>
        <v>1333.6201859166613</v>
      </c>
      <c r="H85" s="17"/>
      <c r="I85" s="17">
        <f>SUM('Deferred Tax F'!I17:I21)</f>
        <v>-1333.6201226403937</v>
      </c>
      <c r="J85" s="17"/>
      <c r="K85" s="17"/>
      <c r="L85" s="17"/>
      <c r="M85" s="17">
        <f t="shared" ref="M85:M100" si="17">I85+K85</f>
        <v>-1333.6201226403937</v>
      </c>
      <c r="N85" s="17"/>
      <c r="O85" s="17"/>
      <c r="P85" s="17"/>
      <c r="Q85" s="17">
        <f t="shared" ref="Q85:Q100" si="18">M85+O85</f>
        <v>-1333.6201226403937</v>
      </c>
      <c r="S85" s="10"/>
    </row>
    <row r="86" spans="1:19" ht="12.75">
      <c r="A86" s="133">
        <f t="shared" ref="A86:A100" si="19">A85+1</f>
        <v>44</v>
      </c>
      <c r="B86" s="10"/>
      <c r="C86" s="51" t="s">
        <v>145</v>
      </c>
      <c r="D86" s="50"/>
      <c r="E86" s="17">
        <f>'Deferred Tax B'!I22</f>
        <v>-20375.178582944529</v>
      </c>
      <c r="F86" s="17"/>
      <c r="G86" s="17">
        <f t="shared" ref="G86:G100" si="20">I86-E86</f>
        <v>-22067.946423402114</v>
      </c>
      <c r="H86" s="17"/>
      <c r="I86" s="17">
        <f>'Deferred Tax F'!I24</f>
        <v>-42443.125006346643</v>
      </c>
      <c r="J86" s="17"/>
      <c r="K86" s="17"/>
      <c r="L86" s="17"/>
      <c r="M86" s="17">
        <f t="shared" si="17"/>
        <v>-42443.125006346643</v>
      </c>
      <c r="N86" s="17"/>
      <c r="O86" s="17"/>
      <c r="P86" s="17"/>
      <c r="Q86" s="17">
        <f t="shared" si="18"/>
        <v>-42443.125006346643</v>
      </c>
      <c r="S86" s="10"/>
    </row>
    <row r="87" spans="1:19" ht="12.75">
      <c r="A87" s="133">
        <f t="shared" si="19"/>
        <v>45</v>
      </c>
      <c r="B87" s="10"/>
      <c r="C87" s="50" t="s">
        <v>13</v>
      </c>
      <c r="D87" s="62"/>
      <c r="E87" s="17">
        <f>'Deferred Tax B'!I23</f>
        <v>207031.02000000002</v>
      </c>
      <c r="F87" s="17"/>
      <c r="G87" s="17">
        <f t="shared" si="20"/>
        <v>-207031.02000000002</v>
      </c>
      <c r="H87" s="17"/>
      <c r="I87" s="17">
        <f>'Deferred Tax F'!I26</f>
        <v>0</v>
      </c>
      <c r="J87" s="17"/>
      <c r="K87" s="17"/>
      <c r="L87" s="17"/>
      <c r="M87" s="17">
        <f t="shared" si="17"/>
        <v>0</v>
      </c>
      <c r="N87" s="17"/>
      <c r="O87" s="17"/>
      <c r="P87" s="17"/>
      <c r="Q87" s="17">
        <f t="shared" si="18"/>
        <v>0</v>
      </c>
      <c r="S87" s="10"/>
    </row>
    <row r="88" spans="1:19" ht="12.75">
      <c r="A88" s="133">
        <f t="shared" si="19"/>
        <v>46</v>
      </c>
      <c r="B88" s="21"/>
      <c r="C88" s="134" t="s">
        <v>246</v>
      </c>
      <c r="D88" s="61"/>
      <c r="E88" s="17">
        <f>+'Deferred Tax B'!I25</f>
        <v>111898.91373464977</v>
      </c>
      <c r="F88" s="21"/>
      <c r="G88" s="17">
        <f t="shared" si="20"/>
        <v>-111898.91373464977</v>
      </c>
      <c r="H88" s="21"/>
      <c r="I88" s="17">
        <f>+'Deferred Tax F'!I28</f>
        <v>0</v>
      </c>
      <c r="J88" s="21"/>
      <c r="K88" s="21"/>
      <c r="L88" s="21"/>
      <c r="M88" s="17">
        <f t="shared" si="17"/>
        <v>0</v>
      </c>
      <c r="N88" s="17"/>
      <c r="O88" s="17"/>
      <c r="P88" s="17"/>
      <c r="Q88" s="17">
        <f t="shared" si="18"/>
        <v>0</v>
      </c>
    </row>
    <row r="89" spans="1:19" ht="12.75">
      <c r="A89" s="133">
        <f t="shared" si="19"/>
        <v>47</v>
      </c>
      <c r="B89" s="10"/>
      <c r="C89" s="50" t="s">
        <v>158</v>
      </c>
      <c r="D89" s="60"/>
      <c r="E89" s="17">
        <f>'Deferred Tax B'!I27+'Deferred Tax B'!I36</f>
        <v>-721843.17012350284</v>
      </c>
      <c r="F89" s="17"/>
      <c r="G89" s="17">
        <f t="shared" si="20"/>
        <v>398269.67791403655</v>
      </c>
      <c r="H89" s="17"/>
      <c r="I89" s="17">
        <f>'Deferred Tax F'!I30+'Deferred Tax F'!I39</f>
        <v>-323573.49220946629</v>
      </c>
      <c r="J89" s="17"/>
      <c r="K89" s="17"/>
      <c r="L89" s="17"/>
      <c r="M89" s="17">
        <f t="shared" si="17"/>
        <v>-323573.49220946629</v>
      </c>
      <c r="N89" s="17"/>
      <c r="O89" s="17"/>
      <c r="P89" s="17"/>
      <c r="Q89" s="17">
        <f t="shared" si="18"/>
        <v>-323573.49220946629</v>
      </c>
      <c r="S89" s="10"/>
    </row>
    <row r="90" spans="1:19" ht="12.75">
      <c r="A90" s="133">
        <f t="shared" si="19"/>
        <v>48</v>
      </c>
      <c r="B90" s="10"/>
      <c r="C90" s="28" t="s">
        <v>43</v>
      </c>
      <c r="D90" s="61"/>
      <c r="E90" s="17">
        <f>'Deferred Tax B'!I29</f>
        <v>1013280.2103255875</v>
      </c>
      <c r="F90" s="17"/>
      <c r="G90" s="17">
        <f t="shared" si="20"/>
        <v>-411872.74820095534</v>
      </c>
      <c r="H90" s="17"/>
      <c r="I90" s="17">
        <f>'Deferred Tax F'!I32</f>
        <v>601407.46212463221</v>
      </c>
      <c r="J90" s="17"/>
      <c r="K90" s="17"/>
      <c r="L90" s="17"/>
      <c r="M90" s="17">
        <f t="shared" si="17"/>
        <v>601407.46212463221</v>
      </c>
      <c r="N90" s="17"/>
      <c r="O90" s="17"/>
      <c r="P90" s="17"/>
      <c r="Q90" s="17">
        <f t="shared" si="18"/>
        <v>601407.46212463221</v>
      </c>
      <c r="S90" s="10"/>
    </row>
    <row r="91" spans="1:19" ht="12.75">
      <c r="A91" s="133">
        <f t="shared" si="19"/>
        <v>49</v>
      </c>
      <c r="B91" s="10"/>
      <c r="C91" s="28" t="s">
        <v>197</v>
      </c>
      <c r="D91" s="61"/>
      <c r="E91" s="17">
        <f>'Deferred Tax B'!I30</f>
        <v>-197841.38104492764</v>
      </c>
      <c r="F91" s="17"/>
      <c r="G91" s="17">
        <f t="shared" si="20"/>
        <v>300237.73718186287</v>
      </c>
      <c r="H91" s="17"/>
      <c r="I91" s="17">
        <f>'Deferred Tax F'!I33</f>
        <v>102396.35613693524</v>
      </c>
      <c r="J91" s="17"/>
      <c r="K91" s="17"/>
      <c r="L91" s="17"/>
      <c r="M91" s="17">
        <f t="shared" si="17"/>
        <v>102396.35613693524</v>
      </c>
      <c r="N91" s="17"/>
      <c r="O91" s="17"/>
      <c r="P91" s="17"/>
      <c r="Q91" s="17">
        <f t="shared" si="18"/>
        <v>102396.35613693524</v>
      </c>
      <c r="S91" s="10"/>
    </row>
    <row r="92" spans="1:19" ht="12.75">
      <c r="A92" s="133">
        <f t="shared" si="19"/>
        <v>50</v>
      </c>
      <c r="B92" s="10"/>
      <c r="C92" s="95" t="s">
        <v>156</v>
      </c>
      <c r="D92" s="61"/>
      <c r="E92" s="17">
        <f>'Deferred Tax B'!I44</f>
        <v>-963060.83392728586</v>
      </c>
      <c r="F92" s="17"/>
      <c r="G92" s="17">
        <f t="shared" si="20"/>
        <v>653968.29786455783</v>
      </c>
      <c r="H92" s="17"/>
      <c r="I92" s="17">
        <f>'Deferred Tax F'!I47</f>
        <v>-309092.53606272803</v>
      </c>
      <c r="J92" s="17"/>
      <c r="K92" s="17"/>
      <c r="L92" s="17"/>
      <c r="M92" s="17">
        <f t="shared" si="17"/>
        <v>-309092.53606272803</v>
      </c>
      <c r="N92" s="17"/>
      <c r="O92" s="17"/>
      <c r="P92" s="17"/>
      <c r="Q92" s="17">
        <f t="shared" si="18"/>
        <v>-309092.53606272803</v>
      </c>
      <c r="S92" s="10"/>
    </row>
    <row r="93" spans="1:19" ht="12.75">
      <c r="A93" s="133">
        <f t="shared" si="19"/>
        <v>51</v>
      </c>
      <c r="B93" s="10"/>
      <c r="C93" s="50" t="s">
        <v>45</v>
      </c>
      <c r="D93" s="61"/>
      <c r="E93" s="17">
        <f>'Deferred Tax B'!I31+'Deferred Tax B'!I43</f>
        <v>-18035.389901854476</v>
      </c>
      <c r="F93" s="17"/>
      <c r="G93" s="17">
        <f t="shared" si="20"/>
        <v>-55606.89411592242</v>
      </c>
      <c r="H93" s="17"/>
      <c r="I93" s="17">
        <f>'Deferred Tax F'!I34+'Deferred Tax F'!I46</f>
        <v>-73642.284017776896</v>
      </c>
      <c r="J93" s="17"/>
      <c r="K93" s="17"/>
      <c r="L93" s="17"/>
      <c r="M93" s="17">
        <f t="shared" si="17"/>
        <v>-73642.284017776896</v>
      </c>
      <c r="N93" s="17"/>
      <c r="O93" s="17"/>
      <c r="P93" s="17"/>
      <c r="Q93" s="17">
        <f t="shared" si="18"/>
        <v>-73642.284017776896</v>
      </c>
      <c r="S93" s="10"/>
    </row>
    <row r="94" spans="1:19" ht="12.75">
      <c r="A94" s="133">
        <f t="shared" si="19"/>
        <v>52</v>
      </c>
      <c r="B94" s="10"/>
      <c r="C94" s="50" t="s">
        <v>44</v>
      </c>
      <c r="D94" s="60"/>
      <c r="E94" s="17">
        <f>'Deferred Tax B'!I35+'Deferred Tax B'!I41</f>
        <v>137865.11098513252</v>
      </c>
      <c r="F94" s="17"/>
      <c r="G94" s="17">
        <f t="shared" si="20"/>
        <v>-117256.90427943447</v>
      </c>
      <c r="H94" s="17"/>
      <c r="I94" s="17">
        <f>'Deferred Tax F'!I38+'Deferred Tax F'!I44</f>
        <v>20608.206705698045</v>
      </c>
      <c r="J94" s="17"/>
      <c r="K94" s="17"/>
      <c r="L94" s="17"/>
      <c r="M94" s="17">
        <f t="shared" si="17"/>
        <v>20608.206705698045</v>
      </c>
      <c r="N94" s="17"/>
      <c r="O94" s="17"/>
      <c r="P94" s="17"/>
      <c r="Q94" s="17">
        <f t="shared" si="18"/>
        <v>20608.206705698045</v>
      </c>
      <c r="S94" s="10"/>
    </row>
    <row r="95" spans="1:19" ht="12.75">
      <c r="A95" s="133">
        <f t="shared" si="19"/>
        <v>53</v>
      </c>
      <c r="B95" s="10"/>
      <c r="C95" s="50" t="s">
        <v>152</v>
      </c>
      <c r="D95" s="60"/>
      <c r="E95" s="17">
        <f>SUM('Deferred Tax B'!I37:I38)</f>
        <v>-38344.422396423208</v>
      </c>
      <c r="F95" s="17"/>
      <c r="G95" s="17">
        <f t="shared" si="20"/>
        <v>79.580820501840208</v>
      </c>
      <c r="H95" s="17"/>
      <c r="I95" s="17">
        <f>SUM('Deferred Tax F'!I40:I41)</f>
        <v>-38264.841575921368</v>
      </c>
      <c r="J95" s="17"/>
      <c r="K95" s="17"/>
      <c r="L95" s="17"/>
      <c r="M95" s="17">
        <f t="shared" si="17"/>
        <v>-38264.841575921368</v>
      </c>
      <c r="N95" s="17"/>
      <c r="O95" s="17"/>
      <c r="P95" s="17"/>
      <c r="Q95" s="17">
        <f t="shared" si="18"/>
        <v>-38264.841575921368</v>
      </c>
      <c r="S95" s="10"/>
    </row>
    <row r="96" spans="1:19" ht="12.75">
      <c r="A96" s="133">
        <f t="shared" si="19"/>
        <v>54</v>
      </c>
      <c r="B96" s="10"/>
      <c r="C96" s="50" t="s">
        <v>250</v>
      </c>
      <c r="D96" s="60"/>
      <c r="E96" s="17">
        <f>SUM('Deferred Tax B'!I39:I40)</f>
        <v>6335.2461900000053</v>
      </c>
      <c r="F96" s="17"/>
      <c r="G96" s="17">
        <f t="shared" si="20"/>
        <v>-6335.2461900000053</v>
      </c>
      <c r="H96" s="17"/>
      <c r="I96" s="17">
        <f>'Deferred Tax F'!I43</f>
        <v>0</v>
      </c>
      <c r="J96" s="17"/>
      <c r="K96" s="17"/>
      <c r="L96" s="17"/>
      <c r="M96" s="17">
        <f t="shared" si="17"/>
        <v>0</v>
      </c>
      <c r="N96" s="17"/>
      <c r="O96" s="17"/>
      <c r="P96" s="17"/>
      <c r="Q96" s="17">
        <f t="shared" si="18"/>
        <v>0</v>
      </c>
      <c r="S96" s="10"/>
    </row>
    <row r="97" spans="1:19" ht="12.75">
      <c r="A97" s="133">
        <f t="shared" si="19"/>
        <v>55</v>
      </c>
      <c r="B97" s="10"/>
      <c r="C97" s="61" t="s">
        <v>159</v>
      </c>
      <c r="D97" s="50"/>
      <c r="E97" s="17">
        <f>'Deferred Tax B'!I50</f>
        <v>383076.58011127519</v>
      </c>
      <c r="F97" s="17"/>
      <c r="G97" s="17">
        <f t="shared" si="20"/>
        <v>-250621.91813684965</v>
      </c>
      <c r="H97" s="17"/>
      <c r="I97" s="17">
        <f>'Deferred Tax F'!I53</f>
        <v>132454.66197442554</v>
      </c>
      <c r="J97" s="17"/>
      <c r="K97" s="17"/>
      <c r="L97" s="17"/>
      <c r="M97" s="17">
        <f t="shared" si="17"/>
        <v>132454.66197442554</v>
      </c>
      <c r="N97" s="17"/>
      <c r="O97" s="17"/>
      <c r="P97" s="17"/>
      <c r="Q97" s="17">
        <f t="shared" si="18"/>
        <v>132454.66197442554</v>
      </c>
      <c r="S97" s="10"/>
    </row>
    <row r="98" spans="1:19" ht="12.75">
      <c r="A98" s="133">
        <f t="shared" si="19"/>
        <v>56</v>
      </c>
      <c r="B98" s="10"/>
      <c r="C98" s="50" t="s">
        <v>46</v>
      </c>
      <c r="D98" s="50"/>
      <c r="E98" s="17">
        <f>'Deferred Tax B'!I47</f>
        <v>-9012.6033226062573</v>
      </c>
      <c r="F98" s="17"/>
      <c r="G98" s="17">
        <f t="shared" si="20"/>
        <v>424.29930739525298</v>
      </c>
      <c r="H98" s="17"/>
      <c r="I98" s="17">
        <f>'Deferred Tax F'!I50</f>
        <v>-8588.3040152110043</v>
      </c>
      <c r="J98" s="17"/>
      <c r="K98" s="17"/>
      <c r="L98" s="17"/>
      <c r="M98" s="17">
        <f t="shared" si="17"/>
        <v>-8588.3040152110043</v>
      </c>
      <c r="N98" s="17"/>
      <c r="O98" s="17"/>
      <c r="P98" s="17"/>
      <c r="Q98" s="17">
        <f t="shared" si="18"/>
        <v>-8588.3040152110043</v>
      </c>
      <c r="S98" s="10"/>
    </row>
    <row r="99" spans="1:19" ht="12.75">
      <c r="A99" s="133">
        <f t="shared" si="19"/>
        <v>57</v>
      </c>
      <c r="B99" s="10"/>
      <c r="C99" s="50" t="s">
        <v>171</v>
      </c>
      <c r="D99" s="50"/>
      <c r="E99" s="17">
        <f>'Deferred Tax B'!I51</f>
        <v>955968.46304308251</v>
      </c>
      <c r="F99" s="17"/>
      <c r="G99" s="17">
        <f t="shared" si="20"/>
        <v>89.683010962791741</v>
      </c>
      <c r="H99" s="17"/>
      <c r="I99" s="17">
        <f>'Deferred Tax F'!I54</f>
        <v>956058.1460540453</v>
      </c>
      <c r="J99" s="17"/>
      <c r="K99" s="17"/>
      <c r="L99" s="17"/>
      <c r="M99" s="17">
        <f t="shared" si="17"/>
        <v>956058.1460540453</v>
      </c>
      <c r="N99" s="17"/>
      <c r="O99" s="17"/>
      <c r="P99" s="17"/>
      <c r="Q99" s="17">
        <f t="shared" si="18"/>
        <v>956058.1460540453</v>
      </c>
      <c r="S99" s="10"/>
    </row>
    <row r="100" spans="1:19" ht="12.75">
      <c r="A100" s="133">
        <f t="shared" si="19"/>
        <v>58</v>
      </c>
      <c r="B100" s="10"/>
      <c r="C100" s="50" t="s">
        <v>48</v>
      </c>
      <c r="D100" s="50"/>
      <c r="E100" s="17">
        <f>'Deferred Tax B'!$I49+'Deferred Tax B'!$I24</f>
        <v>1263936.2633887753</v>
      </c>
      <c r="F100" s="17"/>
      <c r="G100" s="17">
        <f t="shared" si="20"/>
        <v>1709725.4272902608</v>
      </c>
      <c r="H100" s="17"/>
      <c r="I100" s="17">
        <f>'Deferred Tax F'!$I52+'Deferred Tax F'!$I27</f>
        <v>2973661.6906790361</v>
      </c>
      <c r="J100" s="17"/>
      <c r="K100" s="17"/>
      <c r="L100" s="17"/>
      <c r="M100" s="17">
        <f t="shared" si="17"/>
        <v>2973661.6906790361</v>
      </c>
      <c r="N100" s="17"/>
      <c r="O100" s="17"/>
      <c r="P100" s="17"/>
      <c r="Q100" s="17">
        <f t="shared" si="18"/>
        <v>2973661.6906790361</v>
      </c>
      <c r="S100" s="10"/>
    </row>
    <row r="101" spans="1:19" ht="12.75">
      <c r="A101" s="77"/>
      <c r="B101" s="10"/>
      <c r="C101" s="10"/>
      <c r="D101" s="50"/>
      <c r="E101" s="1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S101" s="10"/>
    </row>
    <row r="102" spans="1:19" ht="12.75">
      <c r="A102" s="77">
        <f>A100+1</f>
        <v>59</v>
      </c>
      <c r="B102" s="10"/>
      <c r="C102" s="10" t="s">
        <v>73</v>
      </c>
      <c r="D102" s="50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S102" s="10"/>
    </row>
    <row r="103" spans="1:19" ht="12.75">
      <c r="A103" s="77">
        <f>A102+1</f>
        <v>60</v>
      </c>
      <c r="B103" s="10"/>
      <c r="C103" s="50" t="s">
        <v>127</v>
      </c>
      <c r="D103" s="50"/>
      <c r="E103" s="17">
        <f>'Deferred Tax B'!I54</f>
        <v>1279730.3899999999</v>
      </c>
      <c r="F103" s="17"/>
      <c r="G103" s="17">
        <f t="shared" ref="G103" si="21">I103-E103</f>
        <v>-1279730.3899999999</v>
      </c>
      <c r="H103" s="17"/>
      <c r="I103" s="17">
        <f>'Deferred Tax F'!I57</f>
        <v>0</v>
      </c>
      <c r="J103" s="17"/>
      <c r="K103" s="17"/>
      <c r="L103" s="17"/>
      <c r="M103" s="17">
        <f t="shared" ref="M103:M106" si="22">I103+K103</f>
        <v>0</v>
      </c>
      <c r="N103" s="17"/>
      <c r="O103" s="17"/>
      <c r="P103" s="17"/>
      <c r="Q103" s="17">
        <f t="shared" ref="Q103:Q106" si="23">M103+O103</f>
        <v>0</v>
      </c>
      <c r="S103" s="10"/>
    </row>
    <row r="104" spans="1:19" ht="12.75">
      <c r="A104" s="83">
        <f t="shared" ref="A104:A107" si="24">A103+1</f>
        <v>61</v>
      </c>
      <c r="B104" s="10"/>
      <c r="C104" s="10" t="s">
        <v>253</v>
      </c>
      <c r="D104" s="10"/>
      <c r="E104" s="17">
        <f>'Deferred Tax B'!I55</f>
        <v>-1286605.6500000004</v>
      </c>
      <c r="F104" s="17"/>
      <c r="G104" s="17">
        <f t="shared" ref="G104:G106" si="25">I104-E104</f>
        <v>-67771.804614432389</v>
      </c>
      <c r="H104" s="17"/>
      <c r="I104" s="17">
        <f>'Deferred Tax F'!I58</f>
        <v>-1354377.4546144328</v>
      </c>
      <c r="J104" s="17"/>
      <c r="K104" s="17"/>
      <c r="L104" s="17"/>
      <c r="M104" s="17">
        <f t="shared" si="22"/>
        <v>-1354377.4546144328</v>
      </c>
      <c r="N104" s="17"/>
      <c r="O104" s="17"/>
      <c r="P104" s="17"/>
      <c r="Q104" s="17">
        <f t="shared" si="23"/>
        <v>-1354377.4546144328</v>
      </c>
      <c r="S104" s="10"/>
    </row>
    <row r="105" spans="1:19" ht="12.75">
      <c r="A105" s="141">
        <f t="shared" si="24"/>
        <v>62</v>
      </c>
      <c r="B105" s="10"/>
      <c r="C105" s="10" t="s">
        <v>254</v>
      </c>
      <c r="D105" s="10"/>
      <c r="E105" s="17">
        <f>'Deferred Tax B'!I56</f>
        <v>-163424.80000000005</v>
      </c>
      <c r="F105" s="17"/>
      <c r="G105" s="17">
        <f t="shared" si="25"/>
        <v>163424.80000000005</v>
      </c>
      <c r="H105" s="17"/>
      <c r="I105" s="17">
        <f>'Deferred Tax F'!I59</f>
        <v>0</v>
      </c>
      <c r="J105" s="17"/>
      <c r="K105" s="17"/>
      <c r="L105" s="17"/>
      <c r="M105" s="17">
        <f t="shared" si="22"/>
        <v>0</v>
      </c>
      <c r="N105" s="17"/>
      <c r="O105" s="17"/>
      <c r="P105" s="17"/>
      <c r="Q105" s="17">
        <f t="shared" si="23"/>
        <v>0</v>
      </c>
      <c r="S105" s="10"/>
    </row>
    <row r="106" spans="1:19" ht="12.75">
      <c r="A106" s="141">
        <f t="shared" si="24"/>
        <v>63</v>
      </c>
      <c r="B106" s="11"/>
      <c r="C106" s="10" t="s">
        <v>14</v>
      </c>
      <c r="D106" s="11"/>
      <c r="E106" s="19">
        <f>'Deferred Tax B'!I58</f>
        <v>0</v>
      </c>
      <c r="F106" s="21"/>
      <c r="G106" s="19">
        <f t="shared" si="25"/>
        <v>0</v>
      </c>
      <c r="H106" s="21"/>
      <c r="I106" s="19">
        <f>'Deferred Tax F'!I61</f>
        <v>0</v>
      </c>
      <c r="J106" s="21"/>
      <c r="K106" s="19"/>
      <c r="L106" s="21"/>
      <c r="M106" s="19">
        <f t="shared" si="22"/>
        <v>0</v>
      </c>
      <c r="N106" s="17"/>
      <c r="O106" s="19"/>
      <c r="P106" s="17"/>
      <c r="Q106" s="19">
        <f t="shared" si="23"/>
        <v>0</v>
      </c>
    </row>
    <row r="107" spans="1:19" ht="12.75">
      <c r="A107" s="141">
        <f t="shared" si="24"/>
        <v>64</v>
      </c>
      <c r="B107" s="21"/>
      <c r="C107" s="10" t="s">
        <v>75</v>
      </c>
      <c r="D107" s="10" t="s">
        <v>255</v>
      </c>
      <c r="E107" s="17">
        <f>SUM(E85:E106)</f>
        <v>1937911.5281704001</v>
      </c>
      <c r="F107" s="17"/>
      <c r="G107" s="17">
        <f>SUM(G85:G106)</f>
        <v>697359.33787984843</v>
      </c>
      <c r="H107" s="17"/>
      <c r="I107" s="17">
        <f>SUM(I85:I106)</f>
        <v>2635270.866050249</v>
      </c>
      <c r="J107" s="17"/>
      <c r="K107" s="17">
        <f>SUM(K85:K106)</f>
        <v>0</v>
      </c>
      <c r="L107" s="17"/>
      <c r="M107" s="17">
        <f>SUM(M85:M106)</f>
        <v>2635270.866050249</v>
      </c>
      <c r="N107" s="17"/>
      <c r="O107" s="17">
        <f>SUM(O85:O106)</f>
        <v>0</v>
      </c>
      <c r="P107" s="17"/>
      <c r="Q107" s="17">
        <f>SUM(Q85:Q106)</f>
        <v>2635270.866050249</v>
      </c>
      <c r="R107" s="80"/>
    </row>
    <row r="108" spans="1:19" ht="12.75">
      <c r="A108" s="14"/>
      <c r="B108" s="21"/>
      <c r="C108" s="10"/>
      <c r="D108" s="2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80"/>
    </row>
    <row r="109" spans="1:19" ht="13.5" thickBot="1">
      <c r="A109" s="14">
        <f>A107+1</f>
        <v>65</v>
      </c>
      <c r="B109" s="21"/>
      <c r="C109" s="10" t="s">
        <v>111</v>
      </c>
      <c r="D109" s="10" t="s">
        <v>256</v>
      </c>
      <c r="E109" s="43">
        <f>E107+E42</f>
        <v>9078980.2503815368</v>
      </c>
      <c r="F109" s="17"/>
      <c r="G109" s="43">
        <f>G107+G42</f>
        <v>-1731743.0921201513</v>
      </c>
      <c r="H109" s="17"/>
      <c r="I109" s="43">
        <f>I107+I42</f>
        <v>7347237.1535162479</v>
      </c>
      <c r="J109" s="17"/>
      <c r="K109" s="43">
        <f>K107+K42</f>
        <v>58879.496339999998</v>
      </c>
      <c r="L109" s="17"/>
      <c r="M109" s="43">
        <f>M107+M42</f>
        <v>7406116.6498562479</v>
      </c>
      <c r="N109" s="17"/>
      <c r="O109" s="43">
        <f>O107+O42</f>
        <v>5958506.7989999996</v>
      </c>
      <c r="P109" s="17"/>
      <c r="Q109" s="43">
        <f>Q107+Q42</f>
        <v>13364623.448856246</v>
      </c>
      <c r="R109" s="80"/>
    </row>
    <row r="110" spans="1:19" ht="13.5" thickTop="1">
      <c r="A110" s="81"/>
      <c r="B110" s="21"/>
      <c r="C110" s="1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9" ht="12.75">
      <c r="A111" s="146" t="str">
        <f>A$1</f>
        <v>LOUISVILLE GAS AND ELECTRIC COMPANY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S111" s="10"/>
    </row>
    <row r="112" spans="1:19" ht="12.75">
      <c r="A112" s="146" t="str">
        <f>A$2</f>
        <v>CASE NO. 2020-00350 - GAS OPERATIONS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S112" s="10"/>
    </row>
    <row r="113" spans="1:19" ht="12.75">
      <c r="A113" s="146" t="str">
        <f>A$3</f>
        <v>COMPUTATION OF FEDERAL AND STATE INCOME TAX - GAS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S113" s="10"/>
    </row>
    <row r="114" spans="1:19" ht="12.75">
      <c r="A114" s="146" t="str">
        <f>A$4</f>
        <v>FOR THE BASE PERIOD TME FEBRUARY 28, 2021 AND FORECAST PERIOD TME JUNE 30, 2022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22"/>
      <c r="S114" s="10"/>
    </row>
    <row r="115" spans="1:19" s="20" customFormat="1" ht="12.75">
      <c r="A115" s="77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S115" s="77"/>
    </row>
    <row r="116" spans="1:19" s="20" customFormat="1" ht="12.75">
      <c r="A116" s="79" t="str">
        <f>A$6</f>
        <v>DATA:__X__BASE  PERIOD__X__FORECASTED  PERIOD</v>
      </c>
      <c r="B116" s="10"/>
      <c r="C116" s="10"/>
      <c r="D116" s="10"/>
      <c r="E116" s="10"/>
      <c r="F116" s="10"/>
      <c r="G116" s="10"/>
      <c r="H116" s="11"/>
      <c r="J116" s="10"/>
      <c r="K116" s="10"/>
      <c r="L116" s="11"/>
      <c r="N116" s="13"/>
      <c r="O116" s="13"/>
      <c r="P116" s="13"/>
      <c r="Q116" s="13" t="str">
        <f>Q$6</f>
        <v>SCHEDULE E-1</v>
      </c>
      <c r="S116" s="77"/>
    </row>
    <row r="117" spans="1:19" s="20" customFormat="1" ht="12.75">
      <c r="A117" s="79" t="str">
        <f>A$7</f>
        <v>TYPE OF FILING: __X__ ORIGINAL  _____ UPDATED  _____ REVISED</v>
      </c>
      <c r="B117" s="10"/>
      <c r="C117" s="10"/>
      <c r="D117" s="10"/>
      <c r="E117" s="10"/>
      <c r="F117" s="10"/>
      <c r="G117" s="10"/>
      <c r="H117" s="11"/>
      <c r="J117" s="10"/>
      <c r="K117" s="10"/>
      <c r="L117" s="11"/>
      <c r="N117" s="13"/>
      <c r="O117" s="13"/>
      <c r="P117" s="13"/>
      <c r="Q117" s="13" t="s">
        <v>115</v>
      </c>
      <c r="S117" s="77"/>
    </row>
    <row r="118" spans="1:19" s="20" customFormat="1" ht="12.75">
      <c r="A118" s="107" t="str">
        <f>A$8</f>
        <v xml:space="preserve">WORKPAPER REFERENCE NO(S).: </v>
      </c>
      <c r="B118" s="17"/>
      <c r="C118" s="17"/>
      <c r="D118" s="17"/>
      <c r="E118" s="17"/>
      <c r="F118" s="17"/>
      <c r="G118" s="17"/>
      <c r="H118" s="21"/>
      <c r="I118" s="82"/>
      <c r="J118" s="17"/>
      <c r="K118" s="17"/>
      <c r="L118" s="21"/>
      <c r="M118" s="82"/>
      <c r="N118" s="106"/>
      <c r="O118" s="106"/>
      <c r="P118" s="106"/>
      <c r="Q118" s="106" t="str">
        <f>Q$8</f>
        <v>WITNESS:   C. M. GARRETT</v>
      </c>
      <c r="S118" s="77"/>
    </row>
    <row r="119" spans="1:19" ht="12.75">
      <c r="A119" s="84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9" s="20" customFormat="1" ht="12.75">
      <c r="A120" s="77"/>
      <c r="B120" s="77"/>
      <c r="C120" s="77"/>
      <c r="D120" s="77"/>
      <c r="E120" s="145" t="s">
        <v>97</v>
      </c>
      <c r="F120" s="145"/>
      <c r="G120" s="145"/>
      <c r="H120" s="145"/>
      <c r="I120" s="145"/>
      <c r="J120" s="145"/>
      <c r="K120" s="145"/>
      <c r="L120" s="145"/>
      <c r="M120" s="145"/>
      <c r="N120" s="14"/>
      <c r="O120" s="78"/>
      <c r="P120" s="78" t="s">
        <v>98</v>
      </c>
      <c r="Q120" s="78"/>
      <c r="S120" s="77"/>
    </row>
    <row r="121" spans="1:19" s="20" customFormat="1" ht="12.7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 t="s">
        <v>93</v>
      </c>
      <c r="N121" s="14"/>
      <c r="O121" s="77"/>
      <c r="P121" s="77"/>
      <c r="Q121" s="77"/>
      <c r="S121" s="77"/>
    </row>
    <row r="122" spans="1:19" s="20" customFormat="1" ht="12.75">
      <c r="A122" s="77" t="s">
        <v>95</v>
      </c>
      <c r="B122" s="77"/>
      <c r="C122" s="77"/>
      <c r="D122" s="77"/>
      <c r="E122" s="77" t="s">
        <v>91</v>
      </c>
      <c r="F122" s="77"/>
      <c r="G122" s="77"/>
      <c r="H122" s="77"/>
      <c r="I122" s="77" t="s">
        <v>94</v>
      </c>
      <c r="J122" s="77"/>
      <c r="K122" s="77" t="s">
        <v>93</v>
      </c>
      <c r="L122" s="77"/>
      <c r="M122" s="77" t="s">
        <v>94</v>
      </c>
      <c r="N122" s="14"/>
      <c r="O122" s="77"/>
      <c r="P122" s="77"/>
      <c r="Q122" s="77" t="s">
        <v>94</v>
      </c>
      <c r="S122" s="77"/>
    </row>
    <row r="123" spans="1:19" s="20" customFormat="1" ht="12.75">
      <c r="A123" s="15" t="s">
        <v>96</v>
      </c>
      <c r="B123" s="78"/>
      <c r="C123" s="15" t="s">
        <v>4</v>
      </c>
      <c r="D123" s="78"/>
      <c r="E123" s="15" t="s">
        <v>92</v>
      </c>
      <c r="F123" s="78"/>
      <c r="G123" s="15" t="s">
        <v>36</v>
      </c>
      <c r="H123" s="78"/>
      <c r="I123" s="15" t="s">
        <v>92</v>
      </c>
      <c r="J123" s="78"/>
      <c r="K123" s="15" t="s">
        <v>36</v>
      </c>
      <c r="L123" s="78"/>
      <c r="M123" s="15" t="s">
        <v>92</v>
      </c>
      <c r="N123" s="14"/>
      <c r="O123" s="15" t="s">
        <v>36</v>
      </c>
      <c r="P123" s="15"/>
      <c r="Q123" s="15" t="s">
        <v>92</v>
      </c>
      <c r="S123" s="77"/>
    </row>
    <row r="124" spans="1:19" s="20" customFormat="1" ht="12.75">
      <c r="A124" s="77"/>
      <c r="B124" s="77"/>
      <c r="C124" s="77"/>
      <c r="D124" s="77"/>
      <c r="E124" s="77">
        <v>-1</v>
      </c>
      <c r="F124" s="77">
        <v>-2</v>
      </c>
      <c r="G124" s="77">
        <v>-2</v>
      </c>
      <c r="H124" s="77"/>
      <c r="I124" s="77">
        <v>-3</v>
      </c>
      <c r="J124" s="77"/>
      <c r="K124" s="77">
        <v>-4</v>
      </c>
      <c r="L124" s="77"/>
      <c r="M124" s="77">
        <v>-5</v>
      </c>
      <c r="N124" s="14"/>
      <c r="O124" s="16">
        <v>-6</v>
      </c>
      <c r="P124" s="14"/>
      <c r="Q124" s="16">
        <v>-7</v>
      </c>
      <c r="S124" s="77"/>
    </row>
    <row r="125" spans="1:19" s="20" customFormat="1" ht="12.75">
      <c r="A125" s="77"/>
      <c r="B125" s="77"/>
      <c r="C125" s="77"/>
      <c r="D125" s="77"/>
      <c r="E125" s="77" t="s">
        <v>7</v>
      </c>
      <c r="F125" s="77"/>
      <c r="G125" s="77" t="s">
        <v>7</v>
      </c>
      <c r="H125" s="77"/>
      <c r="I125" s="77" t="s">
        <v>7</v>
      </c>
      <c r="J125" s="77"/>
      <c r="K125" s="77" t="s">
        <v>7</v>
      </c>
      <c r="L125" s="77"/>
      <c r="M125" s="77" t="s">
        <v>7</v>
      </c>
      <c r="N125" s="14"/>
      <c r="O125" s="77" t="s">
        <v>7</v>
      </c>
      <c r="P125" s="14"/>
      <c r="Q125" s="77" t="s">
        <v>7</v>
      </c>
      <c r="S125" s="77"/>
    </row>
    <row r="126" spans="1:19" ht="12.75">
      <c r="A126" s="77">
        <f>A109+1</f>
        <v>66</v>
      </c>
      <c r="B126" s="10"/>
      <c r="C126" s="10" t="s">
        <v>109</v>
      </c>
      <c r="D126" s="10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9" ht="12.75">
      <c r="A127" s="77">
        <f>A126+1</f>
        <v>67</v>
      </c>
      <c r="B127" s="21"/>
      <c r="C127" s="10" t="s">
        <v>47</v>
      </c>
      <c r="D127" s="50"/>
      <c r="E127" s="17">
        <f>SUM('Deferred Tax B'!I62:I65)</f>
        <v>-668.48128034011461</v>
      </c>
      <c r="F127" s="21"/>
      <c r="G127" s="17">
        <f t="shared" ref="G127:G141" si="26">I127-E127</f>
        <v>334.2406480994141</v>
      </c>
      <c r="H127" s="21"/>
      <c r="I127" s="17">
        <f>SUM('Deferred Tax F'!I65:I68)</f>
        <v>-334.24063224070051</v>
      </c>
      <c r="J127" s="21"/>
      <c r="K127" s="21"/>
      <c r="L127" s="21"/>
      <c r="M127" s="17">
        <f t="shared" ref="M127:M141" si="27">I127+K127</f>
        <v>-334.24063224070051</v>
      </c>
      <c r="N127" s="17"/>
      <c r="O127" s="17"/>
      <c r="P127" s="17"/>
      <c r="Q127" s="17">
        <f t="shared" ref="Q127:Q141" si="28">M127+O127</f>
        <v>-334.24063224070051</v>
      </c>
    </row>
    <row r="128" spans="1:19" ht="12.75">
      <c r="A128" s="133">
        <f t="shared" ref="A128:A141" si="29">A127+1</f>
        <v>68</v>
      </c>
      <c r="B128" s="21"/>
      <c r="C128" s="51" t="s">
        <v>145</v>
      </c>
      <c r="D128" s="61"/>
      <c r="E128" s="17">
        <f>'Deferred Tax B'!I67</f>
        <v>-5106.5610483570272</v>
      </c>
      <c r="F128" s="21"/>
      <c r="G128" s="17">
        <f t="shared" si="26"/>
        <v>-5530.8136399504001</v>
      </c>
      <c r="H128" s="21"/>
      <c r="I128" s="17">
        <f>'Deferred Tax F'!I72</f>
        <v>-10637.374688307427</v>
      </c>
      <c r="J128" s="21"/>
      <c r="K128" s="21"/>
      <c r="L128" s="21"/>
      <c r="M128" s="17">
        <f t="shared" si="27"/>
        <v>-10637.374688307427</v>
      </c>
      <c r="N128" s="17"/>
      <c r="O128" s="17"/>
      <c r="P128" s="17"/>
      <c r="Q128" s="17">
        <f t="shared" si="28"/>
        <v>-10637.374688307427</v>
      </c>
    </row>
    <row r="129" spans="1:17" ht="12.75">
      <c r="A129" s="133">
        <f t="shared" si="29"/>
        <v>69</v>
      </c>
      <c r="B129" s="21"/>
      <c r="C129" s="134" t="s">
        <v>246</v>
      </c>
      <c r="D129" s="61"/>
      <c r="E129" s="17">
        <f>+'Deferred Tax B'!I69</f>
        <v>28044.840534999967</v>
      </c>
      <c r="F129" s="21"/>
      <c r="G129" s="17">
        <f t="shared" si="26"/>
        <v>-28044.840534999967</v>
      </c>
      <c r="H129" s="21"/>
      <c r="I129" s="17">
        <f>+'Deferred Tax F'!I75</f>
        <v>0</v>
      </c>
      <c r="J129" s="21"/>
      <c r="K129" s="21"/>
      <c r="L129" s="21"/>
      <c r="M129" s="17">
        <f t="shared" ref="M129" si="30">I129+K129</f>
        <v>0</v>
      </c>
      <c r="N129" s="17"/>
      <c r="O129" s="17"/>
      <c r="P129" s="17"/>
      <c r="Q129" s="17">
        <f t="shared" ref="Q129" si="31">M129+O129</f>
        <v>0</v>
      </c>
    </row>
    <row r="130" spans="1:17" ht="12.75">
      <c r="A130" s="133">
        <f t="shared" si="29"/>
        <v>70</v>
      </c>
      <c r="B130" s="21"/>
      <c r="C130" s="10" t="s">
        <v>158</v>
      </c>
      <c r="D130" s="61"/>
      <c r="E130" s="17">
        <f>'Deferred Tax B'!I71+'Deferred Tax B'!I80</f>
        <v>-180913.07521892298</v>
      </c>
      <c r="F130" s="21"/>
      <c r="G130" s="17">
        <f t="shared" si="26"/>
        <v>99816.961883217184</v>
      </c>
      <c r="H130" s="21"/>
      <c r="I130" s="17">
        <f>'Deferred Tax F'!I77+'Deferred Tax F'!I86</f>
        <v>-81096.113335705799</v>
      </c>
      <c r="J130" s="21"/>
      <c r="K130" s="21"/>
      <c r="L130" s="21"/>
      <c r="M130" s="17">
        <f t="shared" si="27"/>
        <v>-81096.113335705799</v>
      </c>
      <c r="N130" s="17"/>
      <c r="O130" s="17"/>
      <c r="P130" s="17"/>
      <c r="Q130" s="17">
        <f t="shared" si="28"/>
        <v>-81096.113335705799</v>
      </c>
    </row>
    <row r="131" spans="1:17" ht="12.75">
      <c r="A131" s="133">
        <f t="shared" si="29"/>
        <v>71</v>
      </c>
      <c r="B131" s="21"/>
      <c r="C131" s="10" t="s">
        <v>43</v>
      </c>
      <c r="D131" s="61"/>
      <c r="E131" s="17">
        <f>'Deferred Tax B'!I73</f>
        <v>253954.9399312248</v>
      </c>
      <c r="F131" s="21"/>
      <c r="G131" s="17">
        <f t="shared" si="26"/>
        <v>-103226.25268194359</v>
      </c>
      <c r="H131" s="21"/>
      <c r="I131" s="17">
        <f>'Deferred Tax F'!I79</f>
        <v>150728.68724928121</v>
      </c>
      <c r="J131" s="21"/>
      <c r="K131" s="21"/>
      <c r="L131" s="21"/>
      <c r="M131" s="17">
        <f t="shared" si="27"/>
        <v>150728.68724928121</v>
      </c>
      <c r="N131" s="17"/>
      <c r="O131" s="17"/>
      <c r="P131" s="17"/>
      <c r="Q131" s="17">
        <f t="shared" si="28"/>
        <v>150728.68724928121</v>
      </c>
    </row>
    <row r="132" spans="1:17" ht="12.75">
      <c r="A132" s="133">
        <f t="shared" si="29"/>
        <v>72</v>
      </c>
      <c r="B132" s="21"/>
      <c r="C132" s="28" t="s">
        <v>197</v>
      </c>
      <c r="D132" s="61"/>
      <c r="E132" s="17">
        <f>'Deferred Tax B'!I74</f>
        <v>-49584.306026297651</v>
      </c>
      <c r="F132" s="21"/>
      <c r="G132" s="17">
        <f t="shared" si="26"/>
        <v>75247.553178411748</v>
      </c>
      <c r="H132" s="21"/>
      <c r="I132" s="17">
        <f>'Deferred Tax F'!I80</f>
        <v>25663.247152114098</v>
      </c>
      <c r="J132" s="21"/>
      <c r="K132" s="21"/>
      <c r="L132" s="21"/>
      <c r="M132" s="17">
        <f t="shared" si="27"/>
        <v>25663.247152114098</v>
      </c>
      <c r="N132" s="17"/>
      <c r="O132" s="17"/>
      <c r="P132" s="17"/>
      <c r="Q132" s="17">
        <f t="shared" si="28"/>
        <v>25663.247152114098</v>
      </c>
    </row>
    <row r="133" spans="1:17" ht="12.75">
      <c r="A133" s="133">
        <f t="shared" si="29"/>
        <v>73</v>
      </c>
      <c r="B133" s="21"/>
      <c r="C133" s="95" t="s">
        <v>156</v>
      </c>
      <c r="D133" s="61"/>
      <c r="E133" s="17">
        <f>'Deferred Tax B'!I88</f>
        <v>-241368.63005696388</v>
      </c>
      <c r="F133" s="21"/>
      <c r="G133" s="17">
        <f t="shared" si="26"/>
        <v>163901.82903873629</v>
      </c>
      <c r="H133" s="21"/>
      <c r="I133" s="17">
        <f>'Deferred Tax F'!I94</f>
        <v>-77466.801018227576</v>
      </c>
      <c r="J133" s="21"/>
      <c r="K133" s="21"/>
      <c r="L133" s="21"/>
      <c r="M133" s="17">
        <f t="shared" si="27"/>
        <v>-77466.801018227576</v>
      </c>
      <c r="N133" s="17"/>
      <c r="O133" s="17"/>
      <c r="P133" s="17"/>
      <c r="Q133" s="17">
        <f t="shared" si="28"/>
        <v>-77466.801018227576</v>
      </c>
    </row>
    <row r="134" spans="1:17" ht="12.75">
      <c r="A134" s="133">
        <f t="shared" si="29"/>
        <v>74</v>
      </c>
      <c r="B134" s="21"/>
      <c r="C134" s="10" t="s">
        <v>45</v>
      </c>
      <c r="D134" s="61"/>
      <c r="E134" s="17">
        <f>'Deferred Tax B'!I75+'Deferred Tax B'!I87</f>
        <v>-4520.1478450763097</v>
      </c>
      <c r="F134" s="21"/>
      <c r="G134" s="17">
        <f t="shared" si="26"/>
        <v>-13936.564941333942</v>
      </c>
      <c r="H134" s="21"/>
      <c r="I134" s="17">
        <f>'Deferred Tax F'!I81+'Deferred Tax F'!I93</f>
        <v>-18456.712786410251</v>
      </c>
      <c r="J134" s="21"/>
      <c r="K134" s="21"/>
      <c r="L134" s="21"/>
      <c r="M134" s="17">
        <f t="shared" si="27"/>
        <v>-18456.712786410251</v>
      </c>
      <c r="N134" s="17"/>
      <c r="O134" s="17"/>
      <c r="P134" s="17"/>
      <c r="Q134" s="17">
        <f t="shared" si="28"/>
        <v>-18456.712786410251</v>
      </c>
    </row>
    <row r="135" spans="1:17" ht="12.75">
      <c r="A135" s="133">
        <f t="shared" si="29"/>
        <v>75</v>
      </c>
      <c r="B135" s="21"/>
      <c r="C135" s="10" t="s">
        <v>44</v>
      </c>
      <c r="D135" s="61"/>
      <c r="E135" s="17">
        <f>'Deferred Tax B'!I79+'Deferred Tax B'!I85</f>
        <v>34552.659394770046</v>
      </c>
      <c r="F135" s="21"/>
      <c r="G135" s="17">
        <f t="shared" si="26"/>
        <v>-29387.695308128932</v>
      </c>
      <c r="H135" s="21"/>
      <c r="I135" s="17">
        <f>'Deferred Tax F'!I85+'Deferred Tax F'!I91</f>
        <v>5164.9640866411137</v>
      </c>
      <c r="J135" s="21"/>
      <c r="K135" s="21"/>
      <c r="L135" s="21"/>
      <c r="M135" s="17">
        <f t="shared" si="27"/>
        <v>5164.9640866411137</v>
      </c>
      <c r="N135" s="17"/>
      <c r="O135" s="17"/>
      <c r="P135" s="17"/>
      <c r="Q135" s="17">
        <f t="shared" si="28"/>
        <v>5164.9640866411137</v>
      </c>
    </row>
    <row r="136" spans="1:17" ht="12.75">
      <c r="A136" s="133">
        <f t="shared" si="29"/>
        <v>76</v>
      </c>
      <c r="B136" s="21"/>
      <c r="C136" s="10" t="s">
        <v>152</v>
      </c>
      <c r="D136" s="61"/>
      <c r="E136" s="17">
        <f>SUM('Deferred Tax B'!I81:I82)</f>
        <v>-9610.130926421858</v>
      </c>
      <c r="F136" s="21"/>
      <c r="G136" s="17">
        <f t="shared" si="26"/>
        <v>19.945067794949864</v>
      </c>
      <c r="H136" s="21"/>
      <c r="I136" s="17">
        <f>SUM('Deferred Tax F'!I87:I88)</f>
        <v>-9590.1858586269082</v>
      </c>
      <c r="J136" s="21"/>
      <c r="K136" s="21"/>
      <c r="L136" s="21"/>
      <c r="M136" s="17">
        <f t="shared" si="27"/>
        <v>-9590.1858586269082</v>
      </c>
      <c r="N136" s="17"/>
      <c r="O136" s="17"/>
      <c r="P136" s="17"/>
      <c r="Q136" s="17">
        <f t="shared" si="28"/>
        <v>-9590.1858586269082</v>
      </c>
    </row>
    <row r="137" spans="1:17" ht="12.75">
      <c r="A137" s="133">
        <f t="shared" si="29"/>
        <v>77</v>
      </c>
      <c r="B137" s="21"/>
      <c r="C137" s="10" t="s">
        <v>250</v>
      </c>
      <c r="D137" s="61"/>
      <c r="E137" s="17">
        <f>SUM('Deferred Tax B'!I83:I84)</f>
        <v>1587.7810000000027</v>
      </c>
      <c r="F137" s="21"/>
      <c r="G137" s="17">
        <f t="shared" ref="G137:G138" si="32">I137-E137</f>
        <v>-1587.7810000000027</v>
      </c>
      <c r="H137" s="21"/>
      <c r="I137" s="17">
        <f>SUM('Deferred Tax F'!I89:I90)</f>
        <v>0</v>
      </c>
      <c r="J137" s="21"/>
      <c r="K137" s="21"/>
      <c r="L137" s="21"/>
      <c r="M137" s="17">
        <f t="shared" ref="M137:M138" si="33">I137+K137</f>
        <v>0</v>
      </c>
      <c r="N137" s="17"/>
      <c r="O137" s="17"/>
      <c r="P137" s="17"/>
      <c r="Q137" s="17">
        <f t="shared" ref="Q137:Q138" si="34">M137+O137</f>
        <v>0</v>
      </c>
    </row>
    <row r="138" spans="1:17" ht="12.75">
      <c r="A138" s="133">
        <f t="shared" si="29"/>
        <v>78</v>
      </c>
      <c r="B138" s="21"/>
      <c r="C138" s="61" t="s">
        <v>159</v>
      </c>
      <c r="D138" s="61"/>
      <c r="E138" s="17">
        <f>'Deferred Tax B'!I94</f>
        <v>95439.31696259242</v>
      </c>
      <c r="F138" s="21"/>
      <c r="G138" s="17">
        <f t="shared" si="32"/>
        <v>-60611.851981428219</v>
      </c>
      <c r="H138" s="21"/>
      <c r="I138" s="17">
        <f>'Deferred Tax F'!I100</f>
        <v>34827.464981164201</v>
      </c>
      <c r="J138" s="21"/>
      <c r="K138" s="21"/>
      <c r="L138" s="21"/>
      <c r="M138" s="17">
        <f t="shared" si="33"/>
        <v>34827.464981164201</v>
      </c>
      <c r="N138" s="17"/>
      <c r="O138" s="17"/>
      <c r="P138" s="17"/>
      <c r="Q138" s="17">
        <f t="shared" si="34"/>
        <v>34827.464981164201</v>
      </c>
    </row>
    <row r="139" spans="1:17" ht="12.75">
      <c r="A139" s="133">
        <f t="shared" si="29"/>
        <v>79</v>
      </c>
      <c r="B139" s="21"/>
      <c r="C139" s="10" t="s">
        <v>46</v>
      </c>
      <c r="D139" s="50"/>
      <c r="E139" s="17">
        <f>'Deferred Tax B'!I91</f>
        <v>-2258.7978252146004</v>
      </c>
      <c r="F139" s="21"/>
      <c r="G139" s="17">
        <f t="shared" ref="G139" si="35">I139-E139</f>
        <v>106.34067854517525</v>
      </c>
      <c r="H139" s="21"/>
      <c r="I139" s="17">
        <f>'Deferred Tax F'!I97</f>
        <v>-2152.4571466694251</v>
      </c>
      <c r="J139" s="21"/>
      <c r="K139" s="21"/>
      <c r="L139" s="21"/>
      <c r="M139" s="17">
        <f t="shared" si="27"/>
        <v>-2152.4571466694251</v>
      </c>
      <c r="N139" s="17"/>
      <c r="O139" s="17"/>
      <c r="P139" s="17"/>
      <c r="Q139" s="17">
        <f t="shared" si="28"/>
        <v>-2152.4571466694251</v>
      </c>
    </row>
    <row r="140" spans="1:17" ht="12.75">
      <c r="A140" s="133">
        <f t="shared" si="29"/>
        <v>80</v>
      </c>
      <c r="B140" s="21"/>
      <c r="C140" s="50" t="s">
        <v>171</v>
      </c>
      <c r="D140" s="50"/>
      <c r="E140" s="17">
        <f>'Deferred Tax B'!I95</f>
        <v>239591.09349450702</v>
      </c>
      <c r="F140" s="21"/>
      <c r="G140" s="17">
        <f t="shared" ref="G140" si="36">I140-E140</f>
        <v>22.476945103146136</v>
      </c>
      <c r="H140" s="21"/>
      <c r="I140" s="17">
        <f>'Deferred Tax F'!I101</f>
        <v>239613.57043961016</v>
      </c>
      <c r="J140" s="21"/>
      <c r="K140" s="21"/>
      <c r="L140" s="21"/>
      <c r="M140" s="17">
        <f t="shared" ref="M140" si="37">I140+K140</f>
        <v>239613.57043961016</v>
      </c>
      <c r="N140" s="17"/>
      <c r="O140" s="17"/>
      <c r="P140" s="17"/>
      <c r="Q140" s="17">
        <f t="shared" ref="Q140" si="38">M140+O140</f>
        <v>239613.57043961016</v>
      </c>
    </row>
    <row r="141" spans="1:17" ht="12.75">
      <c r="A141" s="133">
        <f t="shared" si="29"/>
        <v>81</v>
      </c>
      <c r="B141" s="21"/>
      <c r="C141" s="10" t="s">
        <v>48</v>
      </c>
      <c r="D141" s="50"/>
      <c r="E141" s="17">
        <f>'Deferred Tax B'!I93+'Deferred Tax B'!I68</f>
        <v>1397408.4228579849</v>
      </c>
      <c r="F141" s="21"/>
      <c r="G141" s="17">
        <f t="shared" si="26"/>
        <v>97472.156635737047</v>
      </c>
      <c r="H141" s="21"/>
      <c r="I141" s="17">
        <f>'Deferred Tax F'!I99+'Deferred Tax F'!I74</f>
        <v>1494880.5794937219</v>
      </c>
      <c r="J141" s="21"/>
      <c r="K141" s="21"/>
      <c r="L141" s="21"/>
      <c r="M141" s="17">
        <f t="shared" si="27"/>
        <v>1494880.5794937219</v>
      </c>
      <c r="N141" s="17"/>
      <c r="O141" s="17"/>
      <c r="P141" s="17"/>
      <c r="Q141" s="17">
        <f t="shared" si="28"/>
        <v>1494880.5794937219</v>
      </c>
    </row>
    <row r="142" spans="1:17" ht="12.75">
      <c r="A142" s="81"/>
      <c r="B142" s="21"/>
      <c r="C142" s="10"/>
      <c r="D142" s="50"/>
      <c r="E142" s="21"/>
      <c r="F142" s="21"/>
      <c r="G142" s="21"/>
      <c r="H142" s="21"/>
      <c r="I142" s="17"/>
      <c r="J142" s="21"/>
      <c r="K142" s="21"/>
      <c r="L142" s="21"/>
      <c r="M142" s="21"/>
      <c r="N142" s="21"/>
      <c r="O142" s="21"/>
      <c r="P142" s="21"/>
      <c r="Q142" s="21"/>
    </row>
    <row r="143" spans="1:17" ht="12.75">
      <c r="A143" s="77">
        <f>A141+1</f>
        <v>82</v>
      </c>
      <c r="B143" s="21"/>
      <c r="C143" s="10" t="s">
        <v>73</v>
      </c>
      <c r="D143" s="50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2.75">
      <c r="A144" s="77">
        <f>A143+1</f>
        <v>83</v>
      </c>
      <c r="B144" s="21"/>
      <c r="C144" s="50" t="s">
        <v>127</v>
      </c>
      <c r="D144" s="50"/>
      <c r="E144" s="17">
        <f>'Deferred Tax B'!I98</f>
        <v>315542.42</v>
      </c>
      <c r="F144" s="21"/>
      <c r="G144" s="17">
        <f t="shared" ref="G144" si="39">I144-E144</f>
        <v>-315542.42</v>
      </c>
      <c r="H144" s="21"/>
      <c r="I144" s="17">
        <f>'Deferred Tax F'!I104</f>
        <v>0</v>
      </c>
      <c r="J144" s="21"/>
      <c r="K144" s="21"/>
      <c r="L144" s="21"/>
      <c r="M144" s="17">
        <f t="shared" ref="M144:M147" si="40">I144+K144</f>
        <v>0</v>
      </c>
      <c r="N144" s="17"/>
      <c r="O144" s="17"/>
      <c r="P144" s="17"/>
      <c r="Q144" s="17">
        <f t="shared" ref="Q144:Q147" si="41">M144+O144</f>
        <v>0</v>
      </c>
    </row>
    <row r="145" spans="1:17" ht="12.75">
      <c r="A145" s="83">
        <f t="shared" ref="A145:A148" si="42">A144+1</f>
        <v>84</v>
      </c>
      <c r="B145" s="21"/>
      <c r="C145" s="10" t="s">
        <v>253</v>
      </c>
      <c r="D145" s="21"/>
      <c r="E145" s="17">
        <f>'Deferred Tax B'!I99</f>
        <v>-154535</v>
      </c>
      <c r="F145" s="21"/>
      <c r="G145" s="17">
        <f t="shared" ref="G145:G147" si="43">I145-E145</f>
        <v>17017.118443810148</v>
      </c>
      <c r="H145" s="21"/>
      <c r="I145" s="17">
        <f>'Deferred Tax F'!I105</f>
        <v>-137517.88155618985</v>
      </c>
      <c r="J145" s="21"/>
      <c r="K145" s="21"/>
      <c r="L145" s="21"/>
      <c r="M145" s="17">
        <f t="shared" si="40"/>
        <v>-137517.88155618985</v>
      </c>
      <c r="N145" s="17"/>
      <c r="O145" s="17"/>
      <c r="P145" s="17"/>
      <c r="Q145" s="17">
        <f t="shared" si="41"/>
        <v>-137517.88155618985</v>
      </c>
    </row>
    <row r="146" spans="1:17" ht="12.75">
      <c r="A146" s="83">
        <f t="shared" si="42"/>
        <v>85</v>
      </c>
      <c r="B146" s="21"/>
      <c r="C146" s="10" t="s">
        <v>254</v>
      </c>
      <c r="D146" s="21"/>
      <c r="E146" s="17">
        <f>'Deferred Tax B'!I100</f>
        <v>-11920</v>
      </c>
      <c r="F146" s="21"/>
      <c r="G146" s="17">
        <f t="shared" si="43"/>
        <v>11919.999999999767</v>
      </c>
      <c r="H146" s="21"/>
      <c r="I146" s="17">
        <f>'Deferred Tax F'!I106</f>
        <v>-2.3283064365386963E-10</v>
      </c>
      <c r="J146" s="21"/>
      <c r="K146" s="21"/>
      <c r="L146" s="21"/>
      <c r="M146" s="17">
        <f t="shared" ref="M146" si="44">I146+K146</f>
        <v>-2.3283064365386963E-10</v>
      </c>
      <c r="N146" s="17"/>
      <c r="O146" s="17"/>
      <c r="P146" s="17"/>
      <c r="Q146" s="17">
        <f t="shared" ref="Q146" si="45">M146+O146</f>
        <v>-2.3283064365386963E-10</v>
      </c>
    </row>
    <row r="147" spans="1:17" ht="12.75">
      <c r="A147" s="133">
        <f t="shared" si="42"/>
        <v>86</v>
      </c>
      <c r="B147" s="21"/>
      <c r="C147" s="35" t="s">
        <v>14</v>
      </c>
      <c r="D147" s="21"/>
      <c r="E147" s="19">
        <f>'Deferred Tax B'!I102</f>
        <v>0</v>
      </c>
      <c r="F147" s="21"/>
      <c r="G147" s="19">
        <f t="shared" si="43"/>
        <v>0</v>
      </c>
      <c r="H147" s="21"/>
      <c r="I147" s="19">
        <f>'Deferred Tax F'!I108</f>
        <v>0</v>
      </c>
      <c r="J147" s="21"/>
      <c r="K147" s="19"/>
      <c r="L147" s="21"/>
      <c r="M147" s="19">
        <f t="shared" si="40"/>
        <v>0</v>
      </c>
      <c r="N147" s="17"/>
      <c r="O147" s="19"/>
      <c r="P147" s="17"/>
      <c r="Q147" s="19">
        <f t="shared" si="41"/>
        <v>0</v>
      </c>
    </row>
    <row r="148" spans="1:17" ht="12.75">
      <c r="A148" s="83">
        <f t="shared" si="42"/>
        <v>87</v>
      </c>
      <c r="B148" s="21"/>
      <c r="C148" s="10" t="s">
        <v>77</v>
      </c>
      <c r="D148" s="10" t="s">
        <v>257</v>
      </c>
      <c r="E148" s="17">
        <f>SUM(E127:E147)</f>
        <v>1705636.3439484846</v>
      </c>
      <c r="F148" s="21"/>
      <c r="G148" s="17">
        <f>SUM(G127:G147)</f>
        <v>-92009.59756833018</v>
      </c>
      <c r="H148" s="21"/>
      <c r="I148" s="17">
        <f>SUM(I127:I147)</f>
        <v>1613626.7463801545</v>
      </c>
      <c r="J148" s="21"/>
      <c r="K148" s="17">
        <f>SUM(K127:K147)</f>
        <v>0</v>
      </c>
      <c r="L148" s="21"/>
      <c r="M148" s="17">
        <f>SUM(M127:M147)</f>
        <v>1613626.7463801545</v>
      </c>
      <c r="N148" s="21"/>
      <c r="O148" s="17">
        <f>SUM(O127:O147)</f>
        <v>0</v>
      </c>
      <c r="P148" s="21"/>
      <c r="Q148" s="17">
        <f>SUM(Q127:Q147)</f>
        <v>1613626.7463801545</v>
      </c>
    </row>
    <row r="149" spans="1:17" ht="12.75">
      <c r="A149" s="81"/>
      <c r="B149" s="21"/>
      <c r="C149" s="10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17" ht="13.5" thickBot="1">
      <c r="A150" s="77">
        <f>A148+1</f>
        <v>88</v>
      </c>
      <c r="B150" s="21"/>
      <c r="C150" s="10" t="s">
        <v>112</v>
      </c>
      <c r="D150" s="10" t="s">
        <v>258</v>
      </c>
      <c r="E150" s="43">
        <f>E61+E148</f>
        <v>2276434.7654590299</v>
      </c>
      <c r="F150" s="17"/>
      <c r="G150" s="43">
        <f>G61+G148</f>
        <v>-484269.18165022734</v>
      </c>
      <c r="H150" s="17"/>
      <c r="I150" s="43">
        <f>I61+I148</f>
        <v>1792165.5838088032</v>
      </c>
      <c r="J150" s="17"/>
      <c r="K150" s="43">
        <f>K61+K148</f>
        <v>14756.766000000001</v>
      </c>
      <c r="L150" s="17"/>
      <c r="M150" s="43">
        <f>M61+M148</f>
        <v>1806922.3498088028</v>
      </c>
      <c r="N150" s="17"/>
      <c r="O150" s="43">
        <f>O61+O148</f>
        <v>1493360.1</v>
      </c>
      <c r="P150" s="17"/>
      <c r="Q150" s="43">
        <f>Q61+Q148</f>
        <v>3300282.4498088029</v>
      </c>
    </row>
    <row r="151" spans="1:17" ht="13.5" thickTop="1">
      <c r="A151" s="81"/>
      <c r="B151" s="21"/>
      <c r="C151" s="10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 ht="13.5" thickBot="1">
      <c r="A152" s="77">
        <f>A150+1</f>
        <v>89</v>
      </c>
      <c r="B152" s="21"/>
      <c r="C152" s="10" t="s">
        <v>110</v>
      </c>
      <c r="D152" s="10" t="s">
        <v>259</v>
      </c>
      <c r="E152" s="43">
        <f>E109+E150+E82</f>
        <v>11353197.015840568</v>
      </c>
      <c r="F152" s="17"/>
      <c r="G152" s="43">
        <f>G109+G150+G82</f>
        <v>-2214378.2737703784</v>
      </c>
      <c r="H152" s="17"/>
      <c r="I152" s="43">
        <f>I109+I150+I82</f>
        <v>9138818.7373250518</v>
      </c>
      <c r="J152" s="17"/>
      <c r="K152" s="43">
        <f>K109+K150+K82</f>
        <v>73636.262340000001</v>
      </c>
      <c r="L152" s="17"/>
      <c r="M152" s="43">
        <f>M109+M150+M82</f>
        <v>9212454.9996650517</v>
      </c>
      <c r="N152" s="17"/>
      <c r="O152" s="43">
        <f>O109+O150+O82</f>
        <v>7451866.8990000002</v>
      </c>
      <c r="P152" s="17"/>
      <c r="Q152" s="43">
        <f>Q109+Q150+Q82</f>
        <v>16664321.898665048</v>
      </c>
    </row>
    <row r="153" spans="1:17" ht="13.5" thickTop="1">
      <c r="A153" s="81"/>
      <c r="B153" s="21"/>
      <c r="C153" s="10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2.75">
      <c r="A154" s="81"/>
      <c r="B154" s="21"/>
      <c r="C154" s="10"/>
      <c r="D154" s="21"/>
      <c r="E154" s="21">
        <v>11353197</v>
      </c>
      <c r="F154" s="21"/>
      <c r="G154" s="21">
        <v>-2214378.0863256324</v>
      </c>
      <c r="H154" s="21"/>
      <c r="I154" s="21">
        <v>9138819</v>
      </c>
      <c r="J154" s="21"/>
      <c r="K154" s="21">
        <v>73636.182499999995</v>
      </c>
      <c r="L154" s="21"/>
      <c r="M154" s="21">
        <v>9212455.5542799272</v>
      </c>
      <c r="N154" s="21"/>
      <c r="O154" s="21">
        <v>7451866.9345238097</v>
      </c>
      <c r="P154" s="21"/>
      <c r="Q154" s="21">
        <v>16664322.453279927</v>
      </c>
    </row>
    <row r="155" spans="1:17" ht="12.75">
      <c r="A155" s="81"/>
      <c r="B155" s="21"/>
      <c r="C155" s="10"/>
      <c r="D155" s="21"/>
      <c r="E155" s="21">
        <f>E152-E154</f>
        <v>1.5840567648410797E-2</v>
      </c>
      <c r="F155" s="21"/>
      <c r="G155" s="21">
        <f>G152-G154</f>
        <v>-0.18744474602863193</v>
      </c>
      <c r="H155" s="21"/>
      <c r="I155" s="21">
        <f>I152-I154</f>
        <v>-0.26267494820058346</v>
      </c>
      <c r="J155" s="21"/>
      <c r="K155" s="21">
        <f>K152-K154</f>
        <v>7.984000000578817E-2</v>
      </c>
      <c r="L155" s="21"/>
      <c r="M155" s="21">
        <f>M152-M154</f>
        <v>-0.55461487546563148</v>
      </c>
      <c r="N155" s="21"/>
      <c r="O155" s="21">
        <f>O152-O154</f>
        <v>-3.5523809492588043E-2</v>
      </c>
      <c r="P155" s="21"/>
      <c r="Q155" s="21">
        <f>Q152-Q154</f>
        <v>-0.55461487919092178</v>
      </c>
    </row>
    <row r="156" spans="1:17" ht="12.75">
      <c r="A156" s="81"/>
      <c r="B156" s="21"/>
      <c r="C156" s="10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ht="12.75">
      <c r="A157" s="81"/>
      <c r="B157" s="21"/>
      <c r="C157" s="10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 ht="12.75">
      <c r="A158" s="81"/>
      <c r="B158" s="21"/>
      <c r="C158" s="10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ht="12.75">
      <c r="A159" s="81"/>
      <c r="B159" s="21"/>
      <c r="C159" s="1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ht="12.75">
      <c r="A160" s="81"/>
      <c r="B160" s="21"/>
      <c r="C160" s="10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ht="12.75">
      <c r="A161" s="81"/>
      <c r="B161" s="21"/>
      <c r="C161" s="1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ht="12.75">
      <c r="A162" s="81"/>
      <c r="B162" s="21"/>
      <c r="C162" s="10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17" ht="12.75">
      <c r="A163" s="81"/>
      <c r="B163" s="21"/>
      <c r="C163" s="1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ht="12.75">
      <c r="A164" s="81"/>
      <c r="B164" s="21"/>
      <c r="C164" s="1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ht="12.75">
      <c r="A165" s="81"/>
      <c r="B165" s="21"/>
      <c r="C165" s="1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1.25">
      <c r="A166" s="8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 ht="11.25">
      <c r="A167" s="8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 ht="11.25">
      <c r="A168" s="8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7" ht="11.25">
      <c r="A169" s="8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>
      <c r="A170" s="8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>
      <c r="A171" s="8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>
      <c r="A172" s="8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>
      <c r="A173" s="8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>
      <c r="A174" s="8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>
      <c r="A175" s="8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>
      <c r="A176" s="8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>
      <c r="A177" s="8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>
      <c r="A178" s="8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>
      <c r="A179" s="8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>
      <c r="A180" s="8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>
      <c r="A181" s="8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>
      <c r="A182" s="8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>
      <c r="A183" s="8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>
      <c r="A184" s="8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>
      <c r="A185" s="8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>
      <c r="A186" s="8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>
      <c r="A187" s="8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>
      <c r="A188" s="8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>
      <c r="A189" s="8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>
      <c r="A190" s="8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>
      <c r="A191" s="8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>
      <c r="A192" s="8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</sheetData>
  <mergeCells count="15">
    <mergeCell ref="A63:Q63"/>
    <mergeCell ref="A64:Q64"/>
    <mergeCell ref="A65:Q65"/>
    <mergeCell ref="A1:Q1"/>
    <mergeCell ref="A2:Q2"/>
    <mergeCell ref="A3:Q3"/>
    <mergeCell ref="A4:Q4"/>
    <mergeCell ref="A62:Q62"/>
    <mergeCell ref="E10:M10"/>
    <mergeCell ref="E120:M120"/>
    <mergeCell ref="E71:M71"/>
    <mergeCell ref="A111:Q111"/>
    <mergeCell ref="A112:Q112"/>
    <mergeCell ref="A113:Q113"/>
    <mergeCell ref="A114:Q114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1" max="16" man="1"/>
    <brk id="11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"/>
  <sheetViews>
    <sheetView zoomScaleNormal="100" workbookViewId="0">
      <selection sqref="A1:F1"/>
    </sheetView>
  </sheetViews>
  <sheetFormatPr defaultColWidth="9.140625" defaultRowHeight="12.75"/>
  <cols>
    <col min="1" max="1" width="6.85546875" style="68" customWidth="1"/>
    <col min="2" max="2" width="39.140625" style="68" customWidth="1"/>
    <col min="3" max="3" width="15.85546875" style="68" customWidth="1"/>
    <col min="4" max="4" width="13.85546875" style="68" customWidth="1"/>
    <col min="5" max="5" width="20.42578125" style="68" customWidth="1"/>
    <col min="6" max="6" width="38.28515625" style="68" customWidth="1"/>
    <col min="7" max="7" width="1.85546875" style="68" customWidth="1"/>
    <col min="8" max="16384" width="9.140625" style="68"/>
  </cols>
  <sheetData>
    <row r="1" spans="1:6" s="54" customFormat="1" ht="20.100000000000001" customHeight="1">
      <c r="A1" s="148" t="str">
        <f>'Rate Case Constants'!C9</f>
        <v>LOUISVILLE GAS AND ELECTRIC COMPANY</v>
      </c>
      <c r="B1" s="148"/>
      <c r="C1" s="148"/>
      <c r="D1" s="148"/>
      <c r="E1" s="148"/>
      <c r="F1" s="148"/>
    </row>
    <row r="2" spans="1:6" s="54" customFormat="1" ht="20.100000000000001" customHeight="1">
      <c r="A2" s="148" t="str">
        <f>'Rate Case Constants'!C10</f>
        <v>CASE NO. 2020-00350 - GAS OPERATIONS</v>
      </c>
      <c r="B2" s="148"/>
      <c r="C2" s="148"/>
      <c r="D2" s="148"/>
      <c r="E2" s="148"/>
      <c r="F2" s="148"/>
    </row>
    <row r="3" spans="1:6" s="54" customFormat="1" ht="20.100000000000001" customHeight="1">
      <c r="A3" s="148" t="s">
        <v>31</v>
      </c>
      <c r="B3" s="148"/>
      <c r="C3" s="148"/>
      <c r="D3" s="148"/>
      <c r="E3" s="148"/>
      <c r="F3" s="148"/>
    </row>
    <row r="4" spans="1:6" s="54" customFormat="1" ht="20.100000000000001" customHeight="1">
      <c r="A4" s="147" t="str">
        <f>'Rate Case Constants'!C15</f>
        <v>BASE YEAR FOR THE 12 MONTHS ENDED FEBRUARY 28, 2021</v>
      </c>
      <c r="B4" s="148"/>
      <c r="C4" s="148"/>
      <c r="D4" s="148"/>
      <c r="E4" s="148"/>
      <c r="F4" s="148"/>
    </row>
    <row r="5" spans="1:6" s="54" customFormat="1" ht="20.100000000000001" customHeight="1">
      <c r="A5" s="147" t="str">
        <f>'Rate Case Constants'!C21</f>
        <v>FORECAST PERIOD FOR THE 12 MONTHS ENDED JUNE 30, 2022</v>
      </c>
      <c r="B5" s="148"/>
      <c r="C5" s="148"/>
      <c r="D5" s="148"/>
      <c r="E5" s="148"/>
      <c r="F5" s="148"/>
    </row>
    <row r="6" spans="1:6" s="54" customFormat="1" ht="20.100000000000001" customHeight="1">
      <c r="A6" s="63"/>
      <c r="B6" s="63"/>
      <c r="C6" s="63"/>
      <c r="D6" s="63"/>
      <c r="E6" s="63"/>
      <c r="F6" s="63"/>
    </row>
    <row r="7" spans="1:6" s="54" customFormat="1" ht="20.100000000000001" customHeight="1">
      <c r="A7" s="53" t="s">
        <v>89</v>
      </c>
      <c r="E7" s="64"/>
      <c r="F7" s="64" t="s">
        <v>130</v>
      </c>
    </row>
    <row r="8" spans="1:6" s="54" customFormat="1" ht="20.100000000000001" customHeight="1">
      <c r="A8" s="54" t="str">
        <f>'Rate Case Constants'!C29</f>
        <v>TYPE OF FILING: __X__ ORIGINAL  _____ UPDATED  _____ REVISED</v>
      </c>
      <c r="E8" s="64"/>
      <c r="F8" s="64" t="s">
        <v>138</v>
      </c>
    </row>
    <row r="9" spans="1:6" s="54" customFormat="1" ht="20.100000000000001" customHeight="1">
      <c r="A9" s="53" t="s">
        <v>90</v>
      </c>
      <c r="E9" s="65"/>
      <c r="F9" s="65" t="str">
        <f>'Rate Case Constants'!C36</f>
        <v>WITNESS:   C. M. GARRETT</v>
      </c>
    </row>
    <row r="10" spans="1:6" s="54" customFormat="1" ht="20.100000000000001" customHeight="1"/>
    <row r="11" spans="1:6" ht="58.5" customHeight="1">
      <c r="A11" s="66" t="s">
        <v>131</v>
      </c>
      <c r="B11" s="67" t="s">
        <v>135</v>
      </c>
      <c r="C11" s="66" t="s">
        <v>137</v>
      </c>
      <c r="D11" s="66" t="s">
        <v>132</v>
      </c>
      <c r="E11" s="66" t="s">
        <v>136</v>
      </c>
      <c r="F11" s="66" t="s">
        <v>133</v>
      </c>
    </row>
    <row r="12" spans="1:6" ht="23.1" customHeight="1">
      <c r="A12" s="69"/>
      <c r="B12" s="70"/>
      <c r="C12" s="71"/>
      <c r="D12" s="71"/>
      <c r="E12" s="71"/>
      <c r="F12" s="71"/>
    </row>
    <row r="13" spans="1:6" s="54" customFormat="1" ht="20.100000000000001" customHeight="1">
      <c r="A13" s="147" t="s">
        <v>134</v>
      </c>
      <c r="B13" s="148"/>
      <c r="C13" s="148"/>
      <c r="D13" s="148"/>
      <c r="E13" s="148"/>
      <c r="F13" s="148"/>
    </row>
    <row r="14" spans="1:6" ht="18.95" customHeight="1">
      <c r="A14" s="75"/>
      <c r="B14" s="72"/>
      <c r="C14" s="73"/>
      <c r="D14" s="73"/>
      <c r="E14" s="74"/>
      <c r="F14" s="74"/>
    </row>
    <row r="15" spans="1:6" ht="18.95" customHeight="1">
      <c r="A15" s="75"/>
      <c r="B15" s="72"/>
      <c r="C15" s="73"/>
      <c r="D15" s="73"/>
      <c r="E15" s="74"/>
      <c r="F15" s="74"/>
    </row>
    <row r="16" spans="1:6" ht="18.95" customHeight="1">
      <c r="A16" s="75"/>
      <c r="B16" s="72"/>
      <c r="C16" s="73"/>
      <c r="D16" s="73"/>
      <c r="E16" s="74"/>
      <c r="F16" s="74"/>
    </row>
    <row r="17" spans="1:6" ht="18.95" customHeight="1">
      <c r="A17" s="75"/>
      <c r="B17" s="72"/>
      <c r="C17" s="73"/>
      <c r="D17" s="73"/>
      <c r="E17" s="74"/>
      <c r="F17" s="74"/>
    </row>
    <row r="18" spans="1:6" ht="18.95" customHeight="1">
      <c r="A18" s="75"/>
      <c r="B18" s="72"/>
      <c r="C18" s="74"/>
      <c r="D18" s="74"/>
      <c r="E18" s="74"/>
      <c r="F18" s="74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8464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C10" sqref="C10"/>
    </sheetView>
  </sheetViews>
  <sheetFormatPr defaultColWidth="0.7109375" defaultRowHeight="12.75"/>
  <cols>
    <col min="1" max="1" width="1.855468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190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193</v>
      </c>
      <c r="B4" s="149"/>
      <c r="C4" s="149"/>
      <c r="D4" s="149"/>
      <c r="E4" s="149"/>
      <c r="F4" s="149"/>
      <c r="G4" s="149"/>
      <c r="H4" s="149"/>
      <c r="I4" s="149"/>
    </row>
    <row r="5" spans="1:9">
      <c r="B5" s="115"/>
      <c r="C5" s="111" t="s">
        <v>0</v>
      </c>
      <c r="D5" s="112"/>
      <c r="E5" s="111"/>
      <c r="F5" s="111"/>
      <c r="G5" s="111" t="s">
        <v>0</v>
      </c>
      <c r="H5" s="112"/>
      <c r="I5" s="111"/>
    </row>
    <row r="6" spans="1:9">
      <c r="B6" s="29"/>
      <c r="C6" s="111"/>
      <c r="D6" s="112"/>
      <c r="E6" s="111"/>
      <c r="F6" s="111"/>
      <c r="G6" s="111"/>
      <c r="H6" s="113"/>
      <c r="I6" s="111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119</v>
      </c>
      <c r="E8" s="29" t="s">
        <v>120</v>
      </c>
      <c r="F8" s="29" t="s">
        <v>123</v>
      </c>
      <c r="G8" s="29" t="s">
        <v>123</v>
      </c>
      <c r="H8" s="29" t="s">
        <v>122</v>
      </c>
      <c r="I8" s="29" t="s">
        <v>173</v>
      </c>
    </row>
    <row r="9" spans="1:9">
      <c r="A9" s="30"/>
      <c r="C9" s="86" t="s">
        <v>33</v>
      </c>
      <c r="D9" s="86" t="s">
        <v>121</v>
      </c>
      <c r="E9" s="86" t="s">
        <v>123</v>
      </c>
      <c r="F9" s="86" t="s">
        <v>34</v>
      </c>
      <c r="G9" s="86" t="s">
        <v>35</v>
      </c>
      <c r="H9" s="86" t="s">
        <v>36</v>
      </c>
      <c r="I9" s="86" t="s">
        <v>35</v>
      </c>
    </row>
    <row r="10" spans="1:9">
      <c r="A10" s="30"/>
      <c r="B10" s="28" t="s">
        <v>8</v>
      </c>
      <c r="C10" s="28">
        <v>372734148.74201787</v>
      </c>
      <c r="D10" s="28">
        <v>294402478.22781122</v>
      </c>
      <c r="E10" s="28">
        <f t="shared" ref="E10:E11" si="0">C10-D10</f>
        <v>78331670.514206648</v>
      </c>
      <c r="F10" s="28">
        <v>-701967.21579336701</v>
      </c>
      <c r="G10" s="28">
        <f>+E10-F10</f>
        <v>79033637.730000019</v>
      </c>
      <c r="H10" s="28">
        <v>12356760.620819399</v>
      </c>
      <c r="I10" s="28">
        <f>+G10-H10</f>
        <v>66676877.109180622</v>
      </c>
    </row>
    <row r="11" spans="1:9">
      <c r="A11" s="30"/>
      <c r="B11" s="28" t="s">
        <v>9</v>
      </c>
      <c r="C11" s="39">
        <v>-86385771</v>
      </c>
      <c r="D11" s="39">
        <v>-69973179</v>
      </c>
      <c r="E11" s="39">
        <f t="shared" si="0"/>
        <v>-16412592</v>
      </c>
      <c r="F11" s="39">
        <v>0</v>
      </c>
      <c r="G11" s="39">
        <f>+E11-F11</f>
        <v>-16412592</v>
      </c>
      <c r="H11" s="39">
        <v>-1844534</v>
      </c>
      <c r="I11" s="39">
        <f>+G11-H11</f>
        <v>-14568058</v>
      </c>
    </row>
    <row r="12" spans="1:9">
      <c r="A12" s="30"/>
      <c r="B12" s="28" t="s">
        <v>37</v>
      </c>
      <c r="C12" s="33">
        <f t="shared" ref="C12:I12" si="1">SUM(C10:C11)</f>
        <v>286348377.74201787</v>
      </c>
      <c r="D12" s="33">
        <f t="shared" si="1"/>
        <v>224429299.22781122</v>
      </c>
      <c r="E12" s="33">
        <f t="shared" si="1"/>
        <v>61919078.514206648</v>
      </c>
      <c r="F12" s="33">
        <f t="shared" si="1"/>
        <v>-701967.21579336701</v>
      </c>
      <c r="G12" s="33">
        <f t="shared" si="1"/>
        <v>62621045.730000019</v>
      </c>
      <c r="H12" s="33">
        <f t="shared" si="1"/>
        <v>10512226.620819399</v>
      </c>
      <c r="I12" s="33">
        <f t="shared" si="1"/>
        <v>52108819.109180622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812523</v>
      </c>
      <c r="D15" s="28">
        <v>650018.6</v>
      </c>
      <c r="E15" s="28">
        <f t="shared" ref="E15:E18" si="2">C15-D15</f>
        <v>162504.40000000002</v>
      </c>
      <c r="F15" s="28">
        <v>162504.39999999997</v>
      </c>
      <c r="G15" s="28">
        <f t="shared" ref="G15:G18" si="3">+E15-F15</f>
        <v>0</v>
      </c>
      <c r="H15" s="28">
        <v>0</v>
      </c>
      <c r="I15" s="28">
        <f t="shared" ref="I15:I18" si="4">+G15-H15</f>
        <v>0</v>
      </c>
    </row>
    <row r="16" spans="1:9">
      <c r="A16" s="37"/>
      <c r="B16" s="28" t="s">
        <v>200</v>
      </c>
      <c r="C16" s="28">
        <v>69955</v>
      </c>
      <c r="D16" s="28">
        <v>55964</v>
      </c>
      <c r="E16" s="28">
        <f t="shared" si="2"/>
        <v>13991</v>
      </c>
      <c r="F16" s="28">
        <v>13991</v>
      </c>
      <c r="G16" s="28">
        <f t="shared" si="3"/>
        <v>0</v>
      </c>
      <c r="H16" s="28">
        <v>0</v>
      </c>
      <c r="I16" s="28">
        <f t="shared" si="4"/>
        <v>0</v>
      </c>
    </row>
    <row r="17" spans="1:9">
      <c r="A17" s="37"/>
      <c r="B17" s="28" t="s">
        <v>40</v>
      </c>
      <c r="C17" s="28">
        <v>1000000</v>
      </c>
      <c r="D17" s="28">
        <v>810000</v>
      </c>
      <c r="E17" s="28">
        <f t="shared" si="2"/>
        <v>190000</v>
      </c>
      <c r="F17" s="28">
        <v>0</v>
      </c>
      <c r="G17" s="28">
        <f t="shared" si="3"/>
        <v>190000</v>
      </c>
      <c r="H17" s="28">
        <v>0</v>
      </c>
      <c r="I17" s="28">
        <f t="shared" si="4"/>
        <v>190000</v>
      </c>
    </row>
    <row r="18" spans="1:9">
      <c r="A18" s="37"/>
      <c r="B18" s="28" t="s">
        <v>160</v>
      </c>
      <c r="C18" s="39">
        <v>1100000</v>
      </c>
      <c r="D18" s="39">
        <v>880000</v>
      </c>
      <c r="E18" s="39">
        <f t="shared" si="2"/>
        <v>220000</v>
      </c>
      <c r="F18" s="39">
        <v>0</v>
      </c>
      <c r="G18" s="39">
        <f t="shared" si="3"/>
        <v>220000</v>
      </c>
      <c r="H18" s="39">
        <v>0</v>
      </c>
      <c r="I18" s="39">
        <f t="shared" si="4"/>
        <v>220000</v>
      </c>
    </row>
    <row r="19" spans="1:9">
      <c r="A19" s="29"/>
      <c r="C19" s="40"/>
      <c r="D19" s="40"/>
      <c r="E19" s="40"/>
      <c r="F19" s="40"/>
      <c r="G19" s="40"/>
      <c r="H19" s="40"/>
      <c r="I19" s="40"/>
    </row>
    <row r="20" spans="1:9">
      <c r="A20" s="29"/>
      <c r="B20" s="41" t="s">
        <v>41</v>
      </c>
      <c r="C20" s="39">
        <f t="shared" ref="C20:I20" si="5">SUM(C15:C18)</f>
        <v>2982478</v>
      </c>
      <c r="D20" s="39">
        <f t="shared" si="5"/>
        <v>2395982.6</v>
      </c>
      <c r="E20" s="39">
        <f t="shared" si="5"/>
        <v>586495.4</v>
      </c>
      <c r="F20" s="39">
        <f t="shared" si="5"/>
        <v>176495.39999999997</v>
      </c>
      <c r="G20" s="39">
        <f t="shared" si="5"/>
        <v>410000</v>
      </c>
      <c r="H20" s="39">
        <f t="shared" si="5"/>
        <v>0</v>
      </c>
      <c r="I20" s="39">
        <f t="shared" si="5"/>
        <v>410000</v>
      </c>
    </row>
    <row r="21" spans="1:9">
      <c r="A21" s="29"/>
      <c r="B21" s="41"/>
      <c r="C21" s="40"/>
      <c r="D21" s="40"/>
      <c r="E21" s="40"/>
      <c r="F21" s="40"/>
      <c r="G21" s="40"/>
      <c r="H21" s="40"/>
      <c r="I21" s="40"/>
    </row>
    <row r="22" spans="1:9">
      <c r="A22" s="29"/>
      <c r="B22" s="41" t="s">
        <v>42</v>
      </c>
      <c r="C22" s="40"/>
      <c r="D22" s="40"/>
      <c r="E22" s="40"/>
      <c r="F22" s="40"/>
      <c r="G22" s="40"/>
      <c r="H22" s="40"/>
      <c r="I22" s="40"/>
    </row>
    <row r="23" spans="1:9">
      <c r="A23" s="29"/>
      <c r="B23" s="28" t="s">
        <v>142</v>
      </c>
      <c r="C23" s="87">
        <v>1358096.08</v>
      </c>
      <c r="D23" s="87">
        <v>1358096.08</v>
      </c>
      <c r="E23" s="36">
        <f>C23-D23</f>
        <v>0</v>
      </c>
      <c r="F23" s="36">
        <v>0</v>
      </c>
      <c r="G23" s="87">
        <f t="shared" ref="G23:G57" si="6">+E23-F23</f>
        <v>0</v>
      </c>
      <c r="H23" s="87">
        <v>0</v>
      </c>
      <c r="I23" s="36">
        <f t="shared" ref="I23:I57" si="7">+G23-H23</f>
        <v>0</v>
      </c>
    </row>
    <row r="24" spans="1:9">
      <c r="A24" s="29"/>
      <c r="B24" s="28" t="s">
        <v>143</v>
      </c>
      <c r="C24" s="87">
        <v>2529139.12</v>
      </c>
      <c r="D24" s="87">
        <v>2515769.4943931978</v>
      </c>
      <c r="E24" s="36">
        <f t="shared" ref="E24:E57" si="8">C24-D24</f>
        <v>13369.625606802292</v>
      </c>
      <c r="F24" s="36">
        <v>0</v>
      </c>
      <c r="G24" s="87">
        <f t="shared" si="6"/>
        <v>13369.625606802292</v>
      </c>
      <c r="H24" s="87">
        <v>0</v>
      </c>
      <c r="I24" s="36">
        <f t="shared" si="7"/>
        <v>13369.625606802292</v>
      </c>
    </row>
    <row r="25" spans="1:9">
      <c r="A25" s="29"/>
      <c r="B25" s="28" t="s">
        <v>144</v>
      </c>
      <c r="C25" s="87">
        <v>-309696.53999999998</v>
      </c>
      <c r="D25" s="87">
        <v>-309696.53999999998</v>
      </c>
      <c r="E25" s="36">
        <f t="shared" si="8"/>
        <v>0</v>
      </c>
      <c r="F25" s="36">
        <v>0</v>
      </c>
      <c r="G25" s="87">
        <f t="shared" si="6"/>
        <v>0</v>
      </c>
      <c r="H25" s="87">
        <v>0</v>
      </c>
      <c r="I25" s="36">
        <f t="shared" si="7"/>
        <v>0</v>
      </c>
    </row>
    <row r="26" spans="1:9">
      <c r="A26" s="29"/>
      <c r="B26" s="28" t="s">
        <v>161</v>
      </c>
      <c r="C26" s="87">
        <v>246304.39999999994</v>
      </c>
      <c r="D26" s="87">
        <v>246304.39999999994</v>
      </c>
      <c r="E26" s="36">
        <f t="shared" si="8"/>
        <v>0</v>
      </c>
      <c r="F26" s="36">
        <v>0</v>
      </c>
      <c r="G26" s="87">
        <f t="shared" si="6"/>
        <v>0</v>
      </c>
      <c r="H26" s="87">
        <v>0</v>
      </c>
      <c r="I26" s="36">
        <f t="shared" si="7"/>
        <v>0</v>
      </c>
    </row>
    <row r="27" spans="1:9">
      <c r="A27" s="29"/>
      <c r="B27" s="28" t="s">
        <v>198</v>
      </c>
      <c r="C27" s="87">
        <v>207500</v>
      </c>
      <c r="D27" s="87">
        <v>207500</v>
      </c>
      <c r="E27" s="36">
        <f t="shared" si="8"/>
        <v>0</v>
      </c>
      <c r="F27" s="36">
        <v>0</v>
      </c>
      <c r="G27" s="87">
        <f t="shared" si="6"/>
        <v>0</v>
      </c>
      <c r="H27" s="87">
        <v>0</v>
      </c>
      <c r="I27" s="36">
        <f t="shared" si="7"/>
        <v>0</v>
      </c>
    </row>
    <row r="28" spans="1:9">
      <c r="A28" s="29"/>
      <c r="B28" s="28" t="s">
        <v>145</v>
      </c>
      <c r="C28" s="87">
        <v>610052.29853716528</v>
      </c>
      <c r="D28" s="87">
        <v>507921.07757002476</v>
      </c>
      <c r="E28" s="36">
        <f t="shared" si="8"/>
        <v>102131.22096714051</v>
      </c>
      <c r="F28" s="36">
        <v>0</v>
      </c>
      <c r="G28" s="87">
        <f t="shared" si="6"/>
        <v>102131.22096714051</v>
      </c>
      <c r="H28" s="87">
        <v>0</v>
      </c>
      <c r="I28" s="36">
        <f t="shared" si="7"/>
        <v>102131.22096714051</v>
      </c>
    </row>
    <row r="29" spans="1:9">
      <c r="A29" s="29"/>
      <c r="B29" s="28" t="s">
        <v>146</v>
      </c>
      <c r="C29" s="87">
        <v>-9301252.4404999986</v>
      </c>
      <c r="D29" s="87">
        <v>-8315390.4404999986</v>
      </c>
      <c r="E29" s="36">
        <f t="shared" si="8"/>
        <v>-985862</v>
      </c>
      <c r="F29" s="36">
        <v>0</v>
      </c>
      <c r="G29" s="87">
        <f t="shared" si="6"/>
        <v>-985862</v>
      </c>
      <c r="H29" s="87">
        <v>0</v>
      </c>
      <c r="I29" s="36">
        <f t="shared" si="7"/>
        <v>-985862</v>
      </c>
    </row>
    <row r="30" spans="1:9">
      <c r="A30" s="29"/>
      <c r="B30" s="28" t="s">
        <v>162</v>
      </c>
      <c r="C30" s="87">
        <v>258689297.97809201</v>
      </c>
      <c r="D30" s="87">
        <v>212502724.73996994</v>
      </c>
      <c r="E30" s="36">
        <f t="shared" si="8"/>
        <v>46186573.238122076</v>
      </c>
      <c r="F30" s="36">
        <v>0</v>
      </c>
      <c r="G30" s="87">
        <f t="shared" si="6"/>
        <v>46186573.238122076</v>
      </c>
      <c r="H30" s="87">
        <v>0</v>
      </c>
      <c r="I30" s="36">
        <f t="shared" si="7"/>
        <v>46186573.238122076</v>
      </c>
    </row>
    <row r="31" spans="1:9">
      <c r="A31" s="29"/>
      <c r="B31" s="28" t="s">
        <v>246</v>
      </c>
      <c r="C31" s="87">
        <v>15898123.759022914</v>
      </c>
      <c r="D31" s="87">
        <v>16459020.569722913</v>
      </c>
      <c r="E31" s="36">
        <f t="shared" si="8"/>
        <v>-560896.81069999933</v>
      </c>
      <c r="F31" s="36">
        <v>0</v>
      </c>
      <c r="G31" s="87">
        <f t="shared" si="6"/>
        <v>-560896.81069999933</v>
      </c>
      <c r="H31" s="87">
        <v>0</v>
      </c>
      <c r="I31" s="36">
        <f t="shared" si="7"/>
        <v>-560896.81069999933</v>
      </c>
    </row>
    <row r="32" spans="1:9">
      <c r="A32" s="29"/>
      <c r="B32" s="36" t="s">
        <v>147</v>
      </c>
      <c r="C32" s="87">
        <v>-12433520.179515343</v>
      </c>
      <c r="D32" s="87">
        <v>-12433520.179515343</v>
      </c>
      <c r="E32" s="36">
        <f t="shared" si="8"/>
        <v>0</v>
      </c>
      <c r="F32" s="36">
        <v>0</v>
      </c>
      <c r="G32" s="87">
        <f t="shared" si="6"/>
        <v>0</v>
      </c>
      <c r="H32" s="87">
        <v>0</v>
      </c>
      <c r="I32" s="36">
        <f t="shared" si="7"/>
        <v>0</v>
      </c>
    </row>
    <row r="33" spans="1:9">
      <c r="A33" s="29"/>
      <c r="B33" s="28" t="s">
        <v>148</v>
      </c>
      <c r="C33" s="87">
        <v>12000000</v>
      </c>
      <c r="D33" s="87">
        <v>9858028.6624505334</v>
      </c>
      <c r="E33" s="36">
        <f t="shared" si="8"/>
        <v>2141971.3375494666</v>
      </c>
      <c r="F33" s="36">
        <v>0</v>
      </c>
      <c r="G33" s="87">
        <f t="shared" si="6"/>
        <v>2141971.3375494666</v>
      </c>
      <c r="H33" s="87">
        <v>0</v>
      </c>
      <c r="I33" s="36">
        <f t="shared" si="7"/>
        <v>2141971.3375494666</v>
      </c>
    </row>
    <row r="34" spans="1:9">
      <c r="A34" s="29"/>
      <c r="B34" s="28" t="s">
        <v>194</v>
      </c>
      <c r="C34" s="87">
        <v>56911</v>
      </c>
      <c r="D34" s="87">
        <v>56911</v>
      </c>
      <c r="E34" s="36">
        <f t="shared" si="8"/>
        <v>0</v>
      </c>
      <c r="F34" s="36">
        <v>0</v>
      </c>
      <c r="G34" s="87">
        <f t="shared" si="6"/>
        <v>0</v>
      </c>
      <c r="H34" s="87">
        <v>0</v>
      </c>
      <c r="I34" s="36">
        <f t="shared" si="7"/>
        <v>0</v>
      </c>
    </row>
    <row r="35" spans="1:9">
      <c r="A35" s="29"/>
      <c r="B35" s="28" t="s">
        <v>43</v>
      </c>
      <c r="C35" s="87">
        <v>-28669170.109999999</v>
      </c>
      <c r="D35" s="87">
        <v>-23590071.311375502</v>
      </c>
      <c r="E35" s="36">
        <f t="shared" si="8"/>
        <v>-5079098.7986244969</v>
      </c>
      <c r="F35" s="36">
        <v>0</v>
      </c>
      <c r="G35" s="87">
        <f t="shared" si="6"/>
        <v>-5079098.7986244969</v>
      </c>
      <c r="H35" s="87">
        <v>0</v>
      </c>
      <c r="I35" s="36">
        <f t="shared" si="7"/>
        <v>-5079098.7986244969</v>
      </c>
    </row>
    <row r="36" spans="1:9">
      <c r="A36" s="29"/>
      <c r="B36" s="28" t="s">
        <v>197</v>
      </c>
      <c r="C36" s="87">
        <v>4311680.497886843</v>
      </c>
      <c r="D36" s="87">
        <v>3319994.3773608897</v>
      </c>
      <c r="E36" s="36">
        <f t="shared" si="8"/>
        <v>991686.12052595336</v>
      </c>
      <c r="F36" s="36">
        <v>0</v>
      </c>
      <c r="G36" s="87">
        <f t="shared" si="6"/>
        <v>991686.12052595336</v>
      </c>
      <c r="H36" s="87">
        <v>0</v>
      </c>
      <c r="I36" s="36">
        <f t="shared" ref="I36:I49" si="9">+G36-H36</f>
        <v>991686.12052595336</v>
      </c>
    </row>
    <row r="37" spans="1:9">
      <c r="A37" s="29"/>
      <c r="B37" s="28" t="s">
        <v>149</v>
      </c>
      <c r="C37" s="87">
        <v>1207194.7163912393</v>
      </c>
      <c r="D37" s="87">
        <v>943744.90948971314</v>
      </c>
      <c r="E37" s="36">
        <f t="shared" si="8"/>
        <v>263449.80690152617</v>
      </c>
      <c r="F37" s="36">
        <v>0</v>
      </c>
      <c r="G37" s="87">
        <f t="shared" si="6"/>
        <v>263449.80690152617</v>
      </c>
      <c r="H37" s="87">
        <v>0</v>
      </c>
      <c r="I37" s="36">
        <f t="shared" si="9"/>
        <v>263449.80690152617</v>
      </c>
    </row>
    <row r="38" spans="1:9">
      <c r="A38" s="29"/>
      <c r="B38" s="28" t="s">
        <v>163</v>
      </c>
      <c r="C38" s="87">
        <v>-2509475.5099999998</v>
      </c>
      <c r="D38" s="87">
        <v>-2767423.1799999997</v>
      </c>
      <c r="E38" s="36">
        <f t="shared" si="8"/>
        <v>257947.66999999993</v>
      </c>
      <c r="F38" s="36">
        <v>0</v>
      </c>
      <c r="G38" s="87">
        <f t="shared" si="6"/>
        <v>257947.66999999993</v>
      </c>
      <c r="H38" s="87">
        <v>0</v>
      </c>
      <c r="I38" s="36">
        <f t="shared" si="9"/>
        <v>257947.66999999993</v>
      </c>
    </row>
    <row r="39" spans="1:9">
      <c r="A39" s="29"/>
      <c r="B39" s="28" t="s">
        <v>164</v>
      </c>
      <c r="C39" s="87">
        <v>-758348.72</v>
      </c>
      <c r="D39" s="87">
        <v>-211475.74</v>
      </c>
      <c r="E39" s="36">
        <f t="shared" si="8"/>
        <v>-546872.98</v>
      </c>
      <c r="F39" s="36">
        <v>0</v>
      </c>
      <c r="G39" s="87">
        <f t="shared" si="6"/>
        <v>-546872.98</v>
      </c>
      <c r="H39" s="87">
        <v>0</v>
      </c>
      <c r="I39" s="36">
        <f t="shared" si="9"/>
        <v>-546872.98</v>
      </c>
    </row>
    <row r="40" spans="1:9">
      <c r="A40" s="29"/>
      <c r="B40" s="28" t="s">
        <v>165</v>
      </c>
      <c r="C40" s="87">
        <v>3267824.23</v>
      </c>
      <c r="D40" s="87">
        <v>2978898.92</v>
      </c>
      <c r="E40" s="36">
        <f t="shared" si="8"/>
        <v>288925.31000000006</v>
      </c>
      <c r="F40" s="36">
        <v>0</v>
      </c>
      <c r="G40" s="87">
        <f t="shared" si="6"/>
        <v>288925.31000000006</v>
      </c>
      <c r="H40" s="87">
        <v>0</v>
      </c>
      <c r="I40" s="36">
        <f t="shared" si="9"/>
        <v>288925.31000000006</v>
      </c>
    </row>
    <row r="41" spans="1:9">
      <c r="A41" s="29"/>
      <c r="B41" s="28" t="s">
        <v>150</v>
      </c>
      <c r="C41" s="87">
        <v>-9497535.0927842222</v>
      </c>
      <c r="D41" s="87">
        <v>-7398307.2748888209</v>
      </c>
      <c r="E41" s="36">
        <f t="shared" si="8"/>
        <v>-2099227.8178954013</v>
      </c>
      <c r="F41" s="36">
        <v>0</v>
      </c>
      <c r="G41" s="87">
        <f t="shared" si="6"/>
        <v>-2099227.8178954013</v>
      </c>
      <c r="H41" s="87">
        <v>0</v>
      </c>
      <c r="I41" s="36">
        <f t="shared" si="9"/>
        <v>-2099227.8178954013</v>
      </c>
    </row>
    <row r="42" spans="1:9">
      <c r="A42" s="29"/>
      <c r="B42" s="28" t="s">
        <v>151</v>
      </c>
      <c r="C42" s="87">
        <v>8193857.9341386342</v>
      </c>
      <c r="D42" s="87">
        <v>6717567.7673096415</v>
      </c>
      <c r="E42" s="36">
        <f t="shared" si="8"/>
        <v>1476290.1668289928</v>
      </c>
      <c r="F42" s="36">
        <v>0</v>
      </c>
      <c r="G42" s="87">
        <f t="shared" si="6"/>
        <v>1476290.1668289928</v>
      </c>
      <c r="H42" s="87">
        <v>0</v>
      </c>
      <c r="I42" s="36">
        <f t="shared" si="9"/>
        <v>1476290.1668289928</v>
      </c>
    </row>
    <row r="43" spans="1:9">
      <c r="A43" s="29"/>
      <c r="B43" s="28" t="s">
        <v>152</v>
      </c>
      <c r="C43" s="87">
        <v>-1437452.0408627589</v>
      </c>
      <c r="D43" s="87">
        <v>-1149818.0804820345</v>
      </c>
      <c r="E43" s="36">
        <f t="shared" si="8"/>
        <v>-287633.9603807244</v>
      </c>
      <c r="F43" s="36">
        <v>0</v>
      </c>
      <c r="G43" s="87">
        <f t="shared" si="6"/>
        <v>-287633.9603807244</v>
      </c>
      <c r="H43" s="87">
        <v>0</v>
      </c>
      <c r="I43" s="36">
        <f t="shared" si="9"/>
        <v>-287633.9603807244</v>
      </c>
    </row>
    <row r="44" spans="1:9">
      <c r="A44" s="29"/>
      <c r="B44" s="28" t="s">
        <v>153</v>
      </c>
      <c r="C44" s="87">
        <v>2397987.900645162</v>
      </c>
      <c r="D44" s="87">
        <v>1918151.3217360005</v>
      </c>
      <c r="E44" s="36">
        <f t="shared" si="8"/>
        <v>479836.5789091615</v>
      </c>
      <c r="F44" s="36">
        <v>0</v>
      </c>
      <c r="G44" s="87">
        <f t="shared" si="6"/>
        <v>479836.5789091615</v>
      </c>
      <c r="H44" s="87">
        <v>0</v>
      </c>
      <c r="I44" s="36">
        <f t="shared" si="9"/>
        <v>479836.5789091615</v>
      </c>
    </row>
    <row r="45" spans="1:9">
      <c r="A45" s="29"/>
      <c r="B45" s="28" t="s">
        <v>251</v>
      </c>
      <c r="C45" s="87">
        <v>745648.44</v>
      </c>
      <c r="D45" s="87">
        <v>777404.05999999994</v>
      </c>
      <c r="E45" s="36">
        <f t="shared" si="8"/>
        <v>-31755.619999999995</v>
      </c>
      <c r="F45" s="36">
        <v>0</v>
      </c>
      <c r="G45" s="87">
        <f t="shared" si="6"/>
        <v>-31755.619999999995</v>
      </c>
      <c r="H45" s="87">
        <v>0</v>
      </c>
      <c r="I45" s="36">
        <f t="shared" si="9"/>
        <v>-31755.619999999995</v>
      </c>
    </row>
    <row r="46" spans="1:9">
      <c r="A46" s="29"/>
      <c r="B46" s="28" t="s">
        <v>252</v>
      </c>
      <c r="C46" s="87">
        <v>-1008851.6</v>
      </c>
      <c r="D46" s="87">
        <v>-1008851.6</v>
      </c>
      <c r="E46" s="36">
        <f t="shared" si="8"/>
        <v>0</v>
      </c>
      <c r="F46" s="36">
        <v>0</v>
      </c>
      <c r="G46" s="87">
        <f t="shared" si="6"/>
        <v>0</v>
      </c>
      <c r="H46" s="87">
        <v>0</v>
      </c>
      <c r="I46" s="36">
        <f t="shared" si="9"/>
        <v>0</v>
      </c>
    </row>
    <row r="47" spans="1:9">
      <c r="A47" s="29"/>
      <c r="B47" s="28" t="s">
        <v>154</v>
      </c>
      <c r="C47" s="87">
        <v>6122498.4000000004</v>
      </c>
      <c r="D47" s="87">
        <v>4714323.7700000005</v>
      </c>
      <c r="E47" s="36">
        <f t="shared" si="8"/>
        <v>1408174.63</v>
      </c>
      <c r="F47" s="36">
        <v>0</v>
      </c>
      <c r="G47" s="87">
        <f t="shared" si="6"/>
        <v>1408174.63</v>
      </c>
      <c r="H47" s="87">
        <v>0</v>
      </c>
      <c r="I47" s="36">
        <f t="shared" si="9"/>
        <v>1408174.63</v>
      </c>
    </row>
    <row r="48" spans="1:9">
      <c r="B48" s="28" t="s">
        <v>199</v>
      </c>
      <c r="C48" s="87">
        <v>1500830.5860000008</v>
      </c>
      <c r="D48" s="87">
        <v>1500830.5860000008</v>
      </c>
      <c r="E48" s="36">
        <f t="shared" si="8"/>
        <v>0</v>
      </c>
      <c r="F48" s="36">
        <v>0</v>
      </c>
      <c r="G48" s="87">
        <f t="shared" si="6"/>
        <v>0</v>
      </c>
      <c r="H48" s="87">
        <v>0</v>
      </c>
      <c r="I48" s="36">
        <f t="shared" si="9"/>
        <v>0</v>
      </c>
    </row>
    <row r="49" spans="1:9">
      <c r="A49" s="29"/>
      <c r="B49" s="28" t="s">
        <v>155</v>
      </c>
      <c r="C49" s="87">
        <v>-752377.6</v>
      </c>
      <c r="D49" s="87">
        <v>-579330.75</v>
      </c>
      <c r="E49" s="36">
        <f t="shared" si="8"/>
        <v>-173046.84999999998</v>
      </c>
      <c r="F49" s="36">
        <v>0</v>
      </c>
      <c r="G49" s="87">
        <f t="shared" si="6"/>
        <v>-173046.84999999998</v>
      </c>
      <c r="H49" s="87">
        <v>0</v>
      </c>
      <c r="I49" s="36">
        <f t="shared" si="9"/>
        <v>-173046.84999999998</v>
      </c>
    </row>
    <row r="50" spans="1:9">
      <c r="A50" s="29"/>
      <c r="B50" s="28" t="s">
        <v>156</v>
      </c>
      <c r="C50" s="87">
        <v>4827372.6011392772</v>
      </c>
      <c r="D50" s="87">
        <v>0</v>
      </c>
      <c r="E50" s="36">
        <f t="shared" si="8"/>
        <v>4827372.6011392772</v>
      </c>
      <c r="F50" s="36">
        <v>0</v>
      </c>
      <c r="G50" s="87">
        <f t="shared" si="6"/>
        <v>4827372.6011392772</v>
      </c>
      <c r="H50" s="87">
        <v>0</v>
      </c>
      <c r="I50" s="36">
        <f t="shared" si="7"/>
        <v>4827372.6011392772</v>
      </c>
    </row>
    <row r="51" spans="1:9">
      <c r="A51" s="29"/>
      <c r="B51" s="28" t="s">
        <v>157</v>
      </c>
      <c r="C51" s="87">
        <v>184483.53999999998</v>
      </c>
      <c r="D51" s="87">
        <v>184483.53999999998</v>
      </c>
      <c r="E51" s="36">
        <f t="shared" si="8"/>
        <v>0</v>
      </c>
      <c r="F51" s="36">
        <v>0</v>
      </c>
      <c r="G51" s="87">
        <f t="shared" si="6"/>
        <v>0</v>
      </c>
      <c r="H51" s="87">
        <v>0</v>
      </c>
      <c r="I51" s="36">
        <f t="shared" si="7"/>
        <v>0</v>
      </c>
    </row>
    <row r="52" spans="1:9">
      <c r="A52" s="29"/>
      <c r="B52" s="28" t="s">
        <v>195</v>
      </c>
      <c r="C52" s="87">
        <v>-880010.49200000009</v>
      </c>
      <c r="D52" s="87">
        <v>-880010.49200000009</v>
      </c>
      <c r="E52" s="36">
        <f t="shared" si="8"/>
        <v>0</v>
      </c>
      <c r="F52" s="36">
        <v>0</v>
      </c>
      <c r="G52" s="87">
        <f t="shared" si="6"/>
        <v>0</v>
      </c>
      <c r="H52" s="87">
        <v>0</v>
      </c>
      <c r="I52" s="36">
        <f t="shared" si="7"/>
        <v>0</v>
      </c>
    </row>
    <row r="53" spans="1:9">
      <c r="A53" s="29"/>
      <c r="B53" s="28" t="s">
        <v>46</v>
      </c>
      <c r="C53" s="87">
        <v>328005.12839306693</v>
      </c>
      <c r="D53" s="87">
        <v>282829.1718887749</v>
      </c>
      <c r="E53" s="36">
        <f t="shared" si="8"/>
        <v>45175.956504292029</v>
      </c>
      <c r="F53" s="36">
        <v>0</v>
      </c>
      <c r="G53" s="87">
        <f t="shared" si="6"/>
        <v>45175.956504292029</v>
      </c>
      <c r="H53" s="87">
        <v>0</v>
      </c>
      <c r="I53" s="36">
        <f t="shared" si="7"/>
        <v>45175.956504292029</v>
      </c>
    </row>
    <row r="54" spans="1:9">
      <c r="A54" s="29"/>
      <c r="B54" s="28" t="s">
        <v>124</v>
      </c>
      <c r="C54" s="87">
        <v>947608.50000000023</v>
      </c>
      <c r="D54" s="87">
        <v>947608.50000000023</v>
      </c>
      <c r="E54" s="36">
        <f t="shared" si="8"/>
        <v>0</v>
      </c>
      <c r="F54" s="36">
        <v>0</v>
      </c>
      <c r="G54" s="87">
        <f t="shared" si="6"/>
        <v>0</v>
      </c>
      <c r="H54" s="87">
        <v>0</v>
      </c>
      <c r="I54" s="36">
        <f t="shared" si="7"/>
        <v>0</v>
      </c>
    </row>
    <row r="55" spans="1:9">
      <c r="A55" s="29"/>
      <c r="B55" s="28" t="s">
        <v>166</v>
      </c>
      <c r="C55" s="87">
        <v>-266849784.006336</v>
      </c>
      <c r="D55" s="87">
        <v>-213247058.23398083</v>
      </c>
      <c r="E55" s="87">
        <f t="shared" si="8"/>
        <v>-53602725.772355169</v>
      </c>
      <c r="F55" s="87">
        <v>0</v>
      </c>
      <c r="G55" s="87">
        <f t="shared" si="6"/>
        <v>-53602725.772355169</v>
      </c>
      <c r="H55" s="87">
        <v>0</v>
      </c>
      <c r="I55" s="87">
        <f t="shared" si="7"/>
        <v>-53602725.772355169</v>
      </c>
    </row>
    <row r="56" spans="1:9">
      <c r="A56" s="29"/>
      <c r="B56" s="28" t="s">
        <v>196</v>
      </c>
      <c r="C56" s="87">
        <v>-8982232.3849999998</v>
      </c>
      <c r="D56" s="87">
        <v>-7062618.8770313347</v>
      </c>
      <c r="E56" s="87">
        <f t="shared" si="8"/>
        <v>-1919613.5079686651</v>
      </c>
      <c r="F56" s="87">
        <v>0</v>
      </c>
      <c r="G56" s="87">
        <f t="shared" si="6"/>
        <v>-1919613.5079686651</v>
      </c>
      <c r="H56" s="87">
        <v>0</v>
      </c>
      <c r="I56" s="87">
        <f t="shared" si="7"/>
        <v>-1919613.5079686651</v>
      </c>
    </row>
    <row r="57" spans="1:9">
      <c r="A57" s="29"/>
      <c r="B57" s="28" t="s">
        <v>167</v>
      </c>
      <c r="C57" s="87">
        <v>-26413225.425000001</v>
      </c>
      <c r="D57" s="87">
        <v>-21621403.555109862</v>
      </c>
      <c r="E57" s="87">
        <f t="shared" si="8"/>
        <v>-4791821.8698901385</v>
      </c>
      <c r="F57" s="87">
        <v>0</v>
      </c>
      <c r="G57" s="87">
        <f t="shared" si="6"/>
        <v>-4791821.8698901385</v>
      </c>
      <c r="H57" s="87">
        <v>0</v>
      </c>
      <c r="I57" s="87">
        <f t="shared" si="7"/>
        <v>-4791821.8698901385</v>
      </c>
    </row>
    <row r="58" spans="1:9">
      <c r="A58" s="29"/>
      <c r="B58" s="93" t="s">
        <v>49</v>
      </c>
      <c r="C58" s="89">
        <f t="shared" ref="C58:I58" si="10">SUM(C23:C57)</f>
        <v>-44172515.03175211</v>
      </c>
      <c r="D58" s="89">
        <f t="shared" si="10"/>
        <v>-32576863.306992125</v>
      </c>
      <c r="E58" s="89">
        <f t="shared" si="10"/>
        <v>-11595651.724759899</v>
      </c>
      <c r="F58" s="89">
        <f t="shared" si="10"/>
        <v>0</v>
      </c>
      <c r="G58" s="89">
        <f t="shared" si="10"/>
        <v>-11595651.724759899</v>
      </c>
      <c r="H58" s="89">
        <f t="shared" si="10"/>
        <v>0</v>
      </c>
      <c r="I58" s="89">
        <f t="shared" si="10"/>
        <v>-11595651.724759899</v>
      </c>
    </row>
    <row r="59" spans="1:9">
      <c r="A59" s="29"/>
      <c r="B59" s="28" t="s">
        <v>50</v>
      </c>
      <c r="C59" s="40"/>
      <c r="D59" s="40"/>
      <c r="E59" s="40"/>
      <c r="F59" s="40"/>
      <c r="G59" s="40"/>
      <c r="H59" s="40"/>
      <c r="I59" s="40"/>
    </row>
    <row r="60" spans="1:9">
      <c r="A60" s="29"/>
      <c r="B60" s="28" t="s">
        <v>51</v>
      </c>
      <c r="C60" s="28">
        <f>SUM(C12,C20,C58)</f>
        <v>245158340.71026576</v>
      </c>
      <c r="D60" s="28">
        <f>SUM(D12,D20,D58)</f>
        <v>194248418.5208191</v>
      </c>
      <c r="E60" s="28">
        <f>SUM(E12,E20,E58)</f>
        <v>50909922.189446747</v>
      </c>
      <c r="F60" s="28">
        <f>SUM(F58,F12,F20)</f>
        <v>-525471.8157933671</v>
      </c>
      <c r="G60" s="28">
        <f>SUM(G58,G12,G20)</f>
        <v>51435394.00524012</v>
      </c>
      <c r="H60" s="28">
        <f>SUM(H58,H12,H20)</f>
        <v>10512226.620819399</v>
      </c>
      <c r="I60" s="28">
        <f>SUM(I58,I12,I20)</f>
        <v>40923167.384420723</v>
      </c>
    </row>
    <row r="61" spans="1:9">
      <c r="A61" s="29"/>
      <c r="B61" s="28" t="s">
        <v>52</v>
      </c>
      <c r="C61" s="39">
        <f>-C94</f>
        <v>-6067921.4289278882</v>
      </c>
      <c r="D61" s="39">
        <f t="shared" ref="D61:E61" si="11">-D94</f>
        <v>-4994157.8171660481</v>
      </c>
      <c r="E61" s="39">
        <f t="shared" si="11"/>
        <v>-1073763.6117618468</v>
      </c>
      <c r="F61" s="39">
        <f t="shared" ref="F61:I61" si="12">-F94</f>
        <v>22646.140789668356</v>
      </c>
      <c r="G61" s="39">
        <f t="shared" si="12"/>
        <v>-1096409.7525515151</v>
      </c>
      <c r="H61" s="39">
        <f t="shared" si="12"/>
        <v>-525611.33104096993</v>
      </c>
      <c r="I61" s="39">
        <f t="shared" si="12"/>
        <v>-570798.42151054542</v>
      </c>
    </row>
    <row r="62" spans="1:9">
      <c r="A62" s="29"/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12</v>
      </c>
      <c r="C63" s="28">
        <f>SUM(C60:C61)</f>
        <v>239090419.28133786</v>
      </c>
      <c r="D63" s="28">
        <f t="shared" ref="D63:E63" si="13">SUM(D60:D61)</f>
        <v>189254260.70365304</v>
      </c>
      <c r="E63" s="28">
        <f t="shared" si="13"/>
        <v>49836158.577684902</v>
      </c>
      <c r="F63" s="28">
        <f t="shared" ref="F63" si="14">SUM(F60:F61)</f>
        <v>-502825.67500369874</v>
      </c>
      <c r="G63" s="28">
        <f t="shared" ref="G63:I63" si="15">SUM(G60:G61)</f>
        <v>50338984.252688602</v>
      </c>
      <c r="H63" s="28">
        <f t="shared" si="15"/>
        <v>9986615.28977843</v>
      </c>
      <c r="I63" s="28">
        <f t="shared" si="15"/>
        <v>40352368.962910175</v>
      </c>
    </row>
    <row r="64" spans="1:9">
      <c r="A64" s="29"/>
      <c r="B64" s="28" t="s">
        <v>53</v>
      </c>
      <c r="C64" s="42">
        <v>0.21</v>
      </c>
      <c r="D64" s="42">
        <v>0.21</v>
      </c>
      <c r="E64" s="42">
        <v>0.21</v>
      </c>
      <c r="F64" s="42">
        <v>0.21</v>
      </c>
      <c r="G64" s="42">
        <v>0.21</v>
      </c>
      <c r="H64" s="42">
        <v>0.21</v>
      </c>
      <c r="I64" s="42">
        <v>0.21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84</v>
      </c>
      <c r="C66" s="45">
        <f>C63*C64</f>
        <v>50208988.049080946</v>
      </c>
      <c r="D66" s="45">
        <f t="shared" ref="D66:E66" si="16">D63*D64</f>
        <v>39743394.747767136</v>
      </c>
      <c r="E66" s="45">
        <f t="shared" si="16"/>
        <v>10465593.301313829</v>
      </c>
      <c r="F66" s="45">
        <f t="shared" ref="F66:I66" si="17">+F63*F64</f>
        <v>-105593.39175077673</v>
      </c>
      <c r="G66" s="45">
        <f t="shared" si="17"/>
        <v>10571186.693064606</v>
      </c>
      <c r="H66" s="45">
        <f t="shared" si="17"/>
        <v>2097189.21085347</v>
      </c>
      <c r="I66" s="45">
        <f t="shared" si="17"/>
        <v>8473997.4822111372</v>
      </c>
    </row>
    <row r="67" spans="1:9">
      <c r="A67" s="29"/>
      <c r="B67" s="28" t="s">
        <v>85</v>
      </c>
      <c r="C67" s="45"/>
      <c r="D67" s="45"/>
      <c r="E67" s="90"/>
      <c r="F67" s="90"/>
      <c r="G67" s="45"/>
      <c r="H67" s="45"/>
      <c r="I67" s="90"/>
    </row>
    <row r="68" spans="1:9">
      <c r="A68" s="29"/>
      <c r="B68" s="38" t="s">
        <v>86</v>
      </c>
      <c r="C68" s="28">
        <v>0</v>
      </c>
      <c r="D68" s="28">
        <v>0</v>
      </c>
      <c r="E68" s="36">
        <f t="shared" ref="E68:E70" si="18">C68-D68</f>
        <v>0</v>
      </c>
      <c r="F68" s="36">
        <v>0</v>
      </c>
      <c r="G68" s="28">
        <f t="shared" ref="G68:G70" si="19">+E68-F68</f>
        <v>0</v>
      </c>
      <c r="H68" s="28">
        <v>0</v>
      </c>
      <c r="I68" s="36">
        <f t="shared" ref="I68:I70" si="20">+G68-H68</f>
        <v>0</v>
      </c>
    </row>
    <row r="69" spans="1:9">
      <c r="A69" s="29"/>
      <c r="B69" s="38" t="s">
        <v>168</v>
      </c>
      <c r="C69" s="28">
        <v>-735000</v>
      </c>
      <c r="D69" s="28">
        <v>-735000</v>
      </c>
      <c r="E69" s="36">
        <f t="shared" si="18"/>
        <v>0</v>
      </c>
      <c r="F69" s="36">
        <v>0</v>
      </c>
      <c r="G69" s="28">
        <f t="shared" si="19"/>
        <v>0</v>
      </c>
      <c r="H69" s="28">
        <v>0</v>
      </c>
      <c r="I69" s="36">
        <f t="shared" si="20"/>
        <v>0</v>
      </c>
    </row>
    <row r="70" spans="1:9">
      <c r="A70" s="29"/>
      <c r="B70" s="38" t="s">
        <v>125</v>
      </c>
      <c r="C70" s="28">
        <v>-338512.95999999996</v>
      </c>
      <c r="D70" s="28">
        <v>979180.51</v>
      </c>
      <c r="E70" s="36">
        <f t="shared" si="18"/>
        <v>-1317693.47</v>
      </c>
      <c r="F70" s="36">
        <v>15235.29</v>
      </c>
      <c r="G70" s="28">
        <f t="shared" si="19"/>
        <v>-1332928.76</v>
      </c>
      <c r="H70" s="28">
        <v>0</v>
      </c>
      <c r="I70" s="36">
        <f t="shared" si="20"/>
        <v>-1332928.76</v>
      </c>
    </row>
    <row r="71" spans="1:9" ht="13.5" thickBot="1">
      <c r="A71" s="29"/>
      <c r="B71" s="28" t="s">
        <v>54</v>
      </c>
      <c r="C71" s="43">
        <f>SUM(C66:C70)</f>
        <v>49135475.089080945</v>
      </c>
      <c r="D71" s="43">
        <f t="shared" ref="D71:E71" si="21">SUM(D66:D70)</f>
        <v>39987575.257767133</v>
      </c>
      <c r="E71" s="43">
        <f t="shared" si="21"/>
        <v>9147899.831313828</v>
      </c>
      <c r="F71" s="43">
        <f t="shared" ref="F71:I71" si="22">SUM(F66:F70)</f>
        <v>-90358.101750776725</v>
      </c>
      <c r="G71" s="43">
        <f t="shared" si="22"/>
        <v>9238257.933064606</v>
      </c>
      <c r="H71" s="43">
        <f t="shared" si="22"/>
        <v>2097189.21085347</v>
      </c>
      <c r="I71" s="43">
        <f t="shared" si="22"/>
        <v>7141068.7222111374</v>
      </c>
    </row>
    <row r="72" spans="1:9" ht="13.5" thickTop="1">
      <c r="A72" s="29"/>
      <c r="C72" s="58"/>
      <c r="D72" s="58"/>
      <c r="E72" s="58"/>
      <c r="F72" s="58"/>
      <c r="G72" s="58"/>
      <c r="H72" s="58"/>
      <c r="I72" s="58"/>
    </row>
    <row r="73" spans="1:9">
      <c r="A73" s="29"/>
      <c r="B73" s="28" t="s">
        <v>55</v>
      </c>
      <c r="D73" s="28"/>
      <c r="H73" s="28"/>
    </row>
    <row r="74" spans="1:9">
      <c r="A74" s="29"/>
      <c r="B74" s="28" t="s">
        <v>12</v>
      </c>
      <c r="C74" s="28">
        <f>C60</f>
        <v>245158340.71026576</v>
      </c>
      <c r="D74" s="28">
        <f t="shared" ref="D74:F74" si="23">D60</f>
        <v>194248418.5208191</v>
      </c>
      <c r="E74" s="28">
        <f t="shared" si="23"/>
        <v>50909922.189446747</v>
      </c>
      <c r="F74" s="28">
        <f t="shared" si="23"/>
        <v>-525471.8157933671</v>
      </c>
      <c r="G74" s="28">
        <f t="shared" ref="G74:I74" si="24">G60</f>
        <v>51435394.00524012</v>
      </c>
      <c r="H74" s="28">
        <f t="shared" si="24"/>
        <v>10512226.620819399</v>
      </c>
      <c r="I74" s="28">
        <f t="shared" si="24"/>
        <v>40923167.384420723</v>
      </c>
    </row>
    <row r="75" spans="1:9">
      <c r="A75" s="29"/>
      <c r="B75" s="28" t="s">
        <v>56</v>
      </c>
      <c r="D75" s="28"/>
      <c r="H75" s="28"/>
    </row>
    <row r="76" spans="1:9">
      <c r="A76" s="29"/>
      <c r="B76" s="36" t="s">
        <v>87</v>
      </c>
      <c r="C76" s="36">
        <v>9301252.4404999986</v>
      </c>
      <c r="D76" s="36">
        <v>8315390.4404999986</v>
      </c>
      <c r="E76" s="36">
        <f t="shared" ref="E76:E80" si="25">C76-D76</f>
        <v>985862</v>
      </c>
      <c r="F76" s="36">
        <v>0</v>
      </c>
      <c r="G76" s="36">
        <f t="shared" ref="G76:G80" si="26">+E76-F76</f>
        <v>985862</v>
      </c>
      <c r="H76" s="36">
        <v>0</v>
      </c>
      <c r="I76" s="36">
        <f t="shared" ref="I76:I80" si="27">+G76-H76</f>
        <v>985862</v>
      </c>
    </row>
    <row r="77" spans="1:9">
      <c r="A77" s="29"/>
      <c r="B77" s="36" t="s">
        <v>57</v>
      </c>
      <c r="C77" s="36">
        <v>266849784.006336</v>
      </c>
      <c r="D77" s="36">
        <v>213247058.23398083</v>
      </c>
      <c r="E77" s="36">
        <f t="shared" si="25"/>
        <v>53602725.772355169</v>
      </c>
      <c r="F77" s="36">
        <v>0</v>
      </c>
      <c r="G77" s="36">
        <f t="shared" si="26"/>
        <v>53602725.772355169</v>
      </c>
      <c r="H77" s="36">
        <v>0</v>
      </c>
      <c r="I77" s="36">
        <f t="shared" si="27"/>
        <v>53602725.772355169</v>
      </c>
    </row>
    <row r="78" spans="1:9">
      <c r="A78" s="29"/>
      <c r="B78" s="28" t="s">
        <v>201</v>
      </c>
      <c r="C78" s="36">
        <v>8982232.3849999998</v>
      </c>
      <c r="D78" s="36">
        <v>7062618.8770313347</v>
      </c>
      <c r="E78" s="36">
        <f t="shared" si="25"/>
        <v>1919613.5079686651</v>
      </c>
      <c r="F78" s="36">
        <v>0</v>
      </c>
      <c r="G78" s="36">
        <f>+E78-F78</f>
        <v>1919613.5079686651</v>
      </c>
      <c r="H78" s="36">
        <v>0</v>
      </c>
      <c r="I78" s="36">
        <f>+G78-H78</f>
        <v>1919613.5079686651</v>
      </c>
    </row>
    <row r="79" spans="1:9">
      <c r="A79" s="29"/>
      <c r="B79" s="28" t="s">
        <v>202</v>
      </c>
      <c r="C79" s="36">
        <v>-10116332.064999999</v>
      </c>
      <c r="D79" s="36">
        <v>-8207545.7257481515</v>
      </c>
      <c r="E79" s="36">
        <f t="shared" si="25"/>
        <v>-1908786.3392518479</v>
      </c>
      <c r="F79" s="36">
        <v>0</v>
      </c>
      <c r="G79" s="36">
        <f>+E79-F79</f>
        <v>-1908786.3392518479</v>
      </c>
      <c r="H79" s="36">
        <v>0</v>
      </c>
      <c r="I79" s="36">
        <f>+G79-H79</f>
        <v>-1908786.3392518479</v>
      </c>
    </row>
    <row r="80" spans="1:9">
      <c r="A80" s="29"/>
      <c r="B80" s="28" t="s">
        <v>58</v>
      </c>
      <c r="C80" s="39">
        <v>-388895137.49854398</v>
      </c>
      <c r="D80" s="39">
        <v>-314760395.80326217</v>
      </c>
      <c r="E80" s="39">
        <f t="shared" si="25"/>
        <v>-74134741.695281804</v>
      </c>
      <c r="F80" s="39">
        <v>0</v>
      </c>
      <c r="G80" s="39">
        <f t="shared" si="26"/>
        <v>-74134741.695281804</v>
      </c>
      <c r="H80" s="39">
        <v>0</v>
      </c>
      <c r="I80" s="39">
        <f t="shared" si="27"/>
        <v>-74134741.695281804</v>
      </c>
    </row>
    <row r="81" spans="1:9">
      <c r="A81" s="29"/>
      <c r="C81" s="40"/>
      <c r="D81" s="40"/>
      <c r="E81" s="40"/>
      <c r="F81" s="40"/>
      <c r="G81" s="40"/>
      <c r="H81" s="40"/>
      <c r="I81" s="40"/>
    </row>
    <row r="82" spans="1:9">
      <c r="A82" s="29"/>
      <c r="B82" s="28" t="s">
        <v>11</v>
      </c>
      <c r="C82" s="28">
        <f t="shared" ref="C82:I82" si="28">SUM(C74:C80)</f>
        <v>131280139.97855777</v>
      </c>
      <c r="D82" s="28">
        <f t="shared" si="28"/>
        <v>99905544.543320954</v>
      </c>
      <c r="E82" s="28">
        <f t="shared" si="28"/>
        <v>31374595.435236931</v>
      </c>
      <c r="F82" s="28">
        <f t="shared" si="28"/>
        <v>-525471.8157933671</v>
      </c>
      <c r="G82" s="28">
        <f t="shared" si="28"/>
        <v>31900067.251030296</v>
      </c>
      <c r="H82" s="28">
        <f t="shared" si="28"/>
        <v>10512226.620819399</v>
      </c>
      <c r="I82" s="28">
        <f t="shared" si="28"/>
        <v>21387840.630210906</v>
      </c>
    </row>
    <row r="83" spans="1:9">
      <c r="A83" s="29"/>
      <c r="B83" s="87" t="s">
        <v>59</v>
      </c>
      <c r="C83" s="114">
        <v>0</v>
      </c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</row>
    <row r="84" spans="1:9">
      <c r="A84" s="29"/>
      <c r="B84" s="87" t="s">
        <v>60</v>
      </c>
      <c r="C84" s="87">
        <f t="shared" ref="C84:I84" si="29">SUM(C82:C83)</f>
        <v>131280139.97855777</v>
      </c>
      <c r="D84" s="87">
        <f t="shared" si="29"/>
        <v>99905544.543320954</v>
      </c>
      <c r="E84" s="87">
        <f t="shared" si="29"/>
        <v>31374595.435236931</v>
      </c>
      <c r="F84" s="87">
        <f t="shared" si="29"/>
        <v>-525471.8157933671</v>
      </c>
      <c r="G84" s="87">
        <f t="shared" si="29"/>
        <v>31900067.251030296</v>
      </c>
      <c r="H84" s="87">
        <f t="shared" si="29"/>
        <v>10512226.620819399</v>
      </c>
      <c r="I84" s="87">
        <f t="shared" si="29"/>
        <v>21387840.630210906</v>
      </c>
    </row>
    <row r="85" spans="1:9">
      <c r="B85" s="28" t="s">
        <v>61</v>
      </c>
      <c r="C85" s="44">
        <v>0.05</v>
      </c>
      <c r="D85" s="44">
        <v>0.05</v>
      </c>
      <c r="E85" s="44">
        <v>0.05</v>
      </c>
      <c r="F85" s="44">
        <v>0.05</v>
      </c>
      <c r="G85" s="44">
        <v>0.05</v>
      </c>
      <c r="H85" s="44">
        <v>0.05</v>
      </c>
      <c r="I85" s="44">
        <v>0.05</v>
      </c>
    </row>
    <row r="86" spans="1:9">
      <c r="C86" s="40"/>
      <c r="D86" s="40"/>
      <c r="E86" s="40"/>
      <c r="F86" s="40"/>
      <c r="G86" s="40"/>
      <c r="H86" s="40"/>
      <c r="I86" s="40"/>
    </row>
    <row r="87" spans="1:9">
      <c r="B87" s="28" t="s">
        <v>62</v>
      </c>
      <c r="C87" s="45">
        <f t="shared" ref="C87:I87" si="30">+C84*C85</f>
        <v>6564006.9989278885</v>
      </c>
      <c r="D87" s="45">
        <f t="shared" si="30"/>
        <v>4995277.2271660483</v>
      </c>
      <c r="E87" s="45">
        <f t="shared" si="30"/>
        <v>1568729.7717618467</v>
      </c>
      <c r="F87" s="45">
        <f t="shared" si="30"/>
        <v>-26273.590789668357</v>
      </c>
      <c r="G87" s="45">
        <f t="shared" si="30"/>
        <v>1595003.362551515</v>
      </c>
      <c r="H87" s="45">
        <f t="shared" si="30"/>
        <v>525611.33104096993</v>
      </c>
      <c r="I87" s="45">
        <f t="shared" si="30"/>
        <v>1069392.0315105454</v>
      </c>
    </row>
    <row r="88" spans="1:9">
      <c r="D88" s="28"/>
      <c r="H88" s="28"/>
    </row>
    <row r="89" spans="1:9">
      <c r="B89" s="28" t="s">
        <v>63</v>
      </c>
      <c r="D89" s="28"/>
      <c r="H89" s="28"/>
    </row>
    <row r="90" spans="1:9">
      <c r="B90" s="28" t="s">
        <v>64</v>
      </c>
      <c r="C90" s="28">
        <v>-285000</v>
      </c>
      <c r="D90" s="28">
        <v>-285000</v>
      </c>
      <c r="E90" s="36">
        <f t="shared" ref="E90:E93" si="31">C90-D90</f>
        <v>0</v>
      </c>
      <c r="F90" s="36">
        <v>0</v>
      </c>
      <c r="G90" s="28">
        <f t="shared" ref="G90:G93" si="32">+E90-F90</f>
        <v>0</v>
      </c>
      <c r="H90" s="28">
        <v>0</v>
      </c>
      <c r="I90" s="36">
        <f t="shared" ref="I90:I93" si="33">+G90-H90</f>
        <v>0</v>
      </c>
    </row>
    <row r="91" spans="1:9">
      <c r="B91" s="28" t="s">
        <v>203</v>
      </c>
      <c r="C91" s="28">
        <v>-198874</v>
      </c>
      <c r="D91" s="28">
        <v>-16357.5</v>
      </c>
      <c r="E91" s="36">
        <f t="shared" si="31"/>
        <v>-182516.5</v>
      </c>
      <c r="F91" s="36">
        <v>0</v>
      </c>
      <c r="G91" s="28">
        <f t="shared" si="32"/>
        <v>-182516.5</v>
      </c>
      <c r="H91" s="28">
        <v>0</v>
      </c>
      <c r="I91" s="36">
        <f t="shared" si="33"/>
        <v>-182516.5</v>
      </c>
    </row>
    <row r="92" spans="1:9">
      <c r="B92" s="38" t="s">
        <v>88</v>
      </c>
      <c r="C92" s="28">
        <v>0</v>
      </c>
      <c r="D92" s="28">
        <v>0</v>
      </c>
      <c r="E92" s="36">
        <f t="shared" si="31"/>
        <v>0</v>
      </c>
      <c r="F92" s="36">
        <v>0</v>
      </c>
      <c r="G92" s="28">
        <f t="shared" si="32"/>
        <v>0</v>
      </c>
      <c r="H92" s="28">
        <v>0</v>
      </c>
      <c r="I92" s="36">
        <f t="shared" si="33"/>
        <v>0</v>
      </c>
    </row>
    <row r="93" spans="1:9">
      <c r="B93" s="38" t="s">
        <v>126</v>
      </c>
      <c r="C93" s="36">
        <v>-12211.569999999949</v>
      </c>
      <c r="D93" s="36">
        <v>300238.09000000003</v>
      </c>
      <c r="E93" s="36">
        <f t="shared" si="31"/>
        <v>-312449.65999999997</v>
      </c>
      <c r="F93" s="36">
        <v>3627.45</v>
      </c>
      <c r="G93" s="36">
        <f t="shared" si="32"/>
        <v>-316077.11</v>
      </c>
      <c r="H93" s="36">
        <v>0</v>
      </c>
      <c r="I93" s="36">
        <f t="shared" si="33"/>
        <v>-316077.11</v>
      </c>
    </row>
    <row r="94" spans="1:9" ht="13.5" thickBot="1">
      <c r="B94" s="28" t="s">
        <v>65</v>
      </c>
      <c r="C94" s="43">
        <f t="shared" ref="C94:I94" si="34">SUM(C87:C93)</f>
        <v>6067921.4289278882</v>
      </c>
      <c r="D94" s="43">
        <f t="shared" si="34"/>
        <v>4994157.8171660481</v>
      </c>
      <c r="E94" s="43">
        <f t="shared" si="34"/>
        <v>1073763.6117618468</v>
      </c>
      <c r="F94" s="43">
        <f t="shared" si="34"/>
        <v>-22646.140789668356</v>
      </c>
      <c r="G94" s="43">
        <f t="shared" si="34"/>
        <v>1096409.7525515151</v>
      </c>
      <c r="H94" s="43">
        <f t="shared" si="34"/>
        <v>525611.33104096993</v>
      </c>
      <c r="I94" s="43">
        <f t="shared" si="34"/>
        <v>570798.42151054542</v>
      </c>
    </row>
    <row r="95" spans="1:9" ht="13.5" thickTop="1">
      <c r="C95" s="58"/>
      <c r="D95" s="58"/>
      <c r="E95" s="58"/>
      <c r="F95" s="58"/>
      <c r="G95" s="58"/>
      <c r="H95" s="58"/>
      <c r="I95" s="58"/>
    </row>
    <row r="97" spans="3:9">
      <c r="C97" s="28">
        <v>49135473.220080972</v>
      </c>
      <c r="D97" s="32">
        <v>39987573.787767112</v>
      </c>
      <c r="E97" s="28">
        <v>9147899.4323138576</v>
      </c>
      <c r="F97" s="28">
        <v>-90358.101750776725</v>
      </c>
      <c r="G97" s="28">
        <v>9238257.5340646375</v>
      </c>
      <c r="H97" s="32">
        <v>2097189.21085347</v>
      </c>
      <c r="I97" s="28">
        <v>7141068.323211167</v>
      </c>
    </row>
    <row r="98" spans="3:9">
      <c r="C98" s="28">
        <v>6067921.3289279062</v>
      </c>
      <c r="D98" s="32">
        <v>4994157.8171660444</v>
      </c>
      <c r="E98" s="28">
        <v>1073763.5117618586</v>
      </c>
      <c r="F98" s="28">
        <v>-22646.140789668356</v>
      </c>
      <c r="G98" s="28">
        <v>1096409.6525515276</v>
      </c>
      <c r="H98" s="32">
        <v>525611.33104096993</v>
      </c>
      <c r="I98" s="28">
        <v>570798.3215105572</v>
      </c>
    </row>
    <row r="99" spans="3:9">
      <c r="C99" s="28">
        <f>+C71-C97</f>
        <v>1.8689999729394913</v>
      </c>
      <c r="D99" s="28">
        <f t="shared" ref="D99:I99" si="35">+D71-D97</f>
        <v>1.4700000211596489</v>
      </c>
      <c r="E99" s="28">
        <f t="shared" si="35"/>
        <v>0.39899997040629387</v>
      </c>
      <c r="F99" s="28">
        <f t="shared" si="35"/>
        <v>0</v>
      </c>
      <c r="G99" s="28">
        <f t="shared" si="35"/>
        <v>0.39899996854364872</v>
      </c>
      <c r="H99" s="28">
        <f t="shared" si="35"/>
        <v>0</v>
      </c>
      <c r="I99" s="28">
        <f t="shared" si="35"/>
        <v>0.39899997040629387</v>
      </c>
    </row>
    <row r="100" spans="3:9">
      <c r="C100" s="28">
        <f>+C94-C98</f>
        <v>9.9999981932342052E-2</v>
      </c>
      <c r="D100" s="28">
        <f t="shared" ref="D100:I100" si="36">+D94-D98</f>
        <v>0</v>
      </c>
      <c r="E100" s="28">
        <f t="shared" si="36"/>
        <v>9.9999988218769431E-2</v>
      </c>
      <c r="F100" s="28">
        <f t="shared" si="36"/>
        <v>0</v>
      </c>
      <c r="G100" s="28">
        <f t="shared" si="36"/>
        <v>9.99999875202775E-2</v>
      </c>
      <c r="H100" s="28">
        <f t="shared" si="36"/>
        <v>0</v>
      </c>
      <c r="I100" s="28">
        <f t="shared" si="36"/>
        <v>9.9999988218769431E-2</v>
      </c>
    </row>
    <row r="1048456" spans="1:1">
      <c r="A1048456" s="52"/>
    </row>
    <row r="1048464" spans="1:1">
      <c r="A1048464" s="52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5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29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C8" sqref="C8"/>
    </sheetView>
  </sheetViews>
  <sheetFormatPr defaultColWidth="9.140625" defaultRowHeight="12.75"/>
  <cols>
    <col min="1" max="1" width="1.7109375" style="93" customWidth="1"/>
    <col min="2" max="2" width="45.140625" style="93" customWidth="1"/>
    <col min="3" max="9" width="21" style="92" customWidth="1"/>
    <col min="10" max="10" width="12.5703125" style="34" customWidth="1"/>
    <col min="11" max="16384" width="9.140625" style="34"/>
  </cols>
  <sheetData>
    <row r="1" spans="1:9">
      <c r="A1" s="149" t="s">
        <v>118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32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190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193</v>
      </c>
      <c r="B4" s="149"/>
      <c r="C4" s="149"/>
      <c r="D4" s="149"/>
      <c r="E4" s="149"/>
      <c r="F4" s="149"/>
      <c r="G4" s="149"/>
      <c r="H4" s="149"/>
      <c r="I4" s="149"/>
    </row>
    <row r="5" spans="1:9" ht="15">
      <c r="B5" s="46" t="s">
        <v>0</v>
      </c>
    </row>
    <row r="6" spans="1:9">
      <c r="D6" s="29" t="s">
        <v>119</v>
      </c>
      <c r="E6" s="29" t="s">
        <v>120</v>
      </c>
      <c r="F6" s="29" t="s">
        <v>123</v>
      </c>
      <c r="G6" s="29" t="s">
        <v>123</v>
      </c>
      <c r="H6" s="29" t="s">
        <v>122</v>
      </c>
      <c r="I6" s="29" t="s">
        <v>173</v>
      </c>
    </row>
    <row r="7" spans="1:9">
      <c r="B7" s="94" t="s">
        <v>4</v>
      </c>
      <c r="C7" s="94" t="s">
        <v>33</v>
      </c>
      <c r="D7" s="94" t="s">
        <v>121</v>
      </c>
      <c r="E7" s="86" t="s">
        <v>123</v>
      </c>
      <c r="F7" s="86" t="s">
        <v>34</v>
      </c>
      <c r="G7" s="86" t="s">
        <v>35</v>
      </c>
      <c r="H7" s="86" t="s">
        <v>36</v>
      </c>
      <c r="I7" s="86" t="s">
        <v>35</v>
      </c>
    </row>
    <row r="8" spans="1:9">
      <c r="B8" s="115"/>
      <c r="C8" s="116"/>
      <c r="D8" s="116"/>
      <c r="E8" s="116"/>
      <c r="F8" s="116"/>
      <c r="G8" s="116"/>
      <c r="H8" s="116"/>
      <c r="I8" s="116"/>
    </row>
    <row r="9" spans="1:9">
      <c r="A9" s="93" t="s">
        <v>66</v>
      </c>
    </row>
    <row r="10" spans="1:9">
      <c r="A10" s="93" t="s">
        <v>67</v>
      </c>
    </row>
    <row r="12" spans="1:9">
      <c r="A12" s="93" t="s">
        <v>68</v>
      </c>
    </row>
    <row r="13" spans="1:9">
      <c r="B13" s="93" t="s">
        <v>69</v>
      </c>
      <c r="C13" s="92">
        <v>-880775</v>
      </c>
      <c r="D13" s="92">
        <v>-878557</v>
      </c>
      <c r="E13" s="92">
        <v>-2218</v>
      </c>
      <c r="F13" s="92">
        <v>0</v>
      </c>
      <c r="G13" s="92">
        <f>+E13-F13</f>
        <v>-2218</v>
      </c>
      <c r="H13" s="92">
        <v>0</v>
      </c>
      <c r="I13" s="92">
        <f>+G13-H13</f>
        <v>-2218</v>
      </c>
    </row>
    <row r="14" spans="1:9">
      <c r="A14" s="93" t="s">
        <v>70</v>
      </c>
      <c r="C14" s="117">
        <f t="shared" ref="C14:I14" si="0">C13</f>
        <v>-880775</v>
      </c>
      <c r="D14" s="117">
        <f t="shared" si="0"/>
        <v>-878557</v>
      </c>
      <c r="E14" s="117">
        <f t="shared" si="0"/>
        <v>-2218</v>
      </c>
      <c r="F14" s="117">
        <f t="shared" si="0"/>
        <v>0</v>
      </c>
      <c r="G14" s="117">
        <f t="shared" si="0"/>
        <v>-2218</v>
      </c>
      <c r="H14" s="117">
        <f t="shared" si="0"/>
        <v>0</v>
      </c>
      <c r="I14" s="117">
        <f t="shared" si="0"/>
        <v>-2218</v>
      </c>
    </row>
    <row r="15" spans="1:9" s="48" customFormat="1">
      <c r="A15" s="93"/>
      <c r="B15" s="93"/>
      <c r="C15" s="58"/>
      <c r="D15" s="58"/>
      <c r="E15" s="58"/>
      <c r="F15" s="58"/>
      <c r="G15" s="58"/>
      <c r="H15" s="58"/>
      <c r="I15" s="58"/>
    </row>
    <row r="16" spans="1:9">
      <c r="A16" s="93" t="s">
        <v>71</v>
      </c>
    </row>
    <row r="17" spans="1:9">
      <c r="B17" s="95" t="s">
        <v>142</v>
      </c>
      <c r="C17" s="96">
        <v>-270940.16795999999</v>
      </c>
      <c r="D17" s="96">
        <v>-270940.16795999999</v>
      </c>
      <c r="E17" s="96">
        <f>+C17-D17</f>
        <v>0</v>
      </c>
      <c r="F17" s="96">
        <v>0</v>
      </c>
      <c r="G17" s="96">
        <f t="shared" ref="G17:G51" si="1">+E17-F17</f>
        <v>0</v>
      </c>
      <c r="H17" s="96">
        <v>0</v>
      </c>
      <c r="I17" s="96">
        <f t="shared" ref="I17:I51" si="2">+G17-H17</f>
        <v>0</v>
      </c>
    </row>
    <row r="18" spans="1:9">
      <c r="B18" s="95" t="s">
        <v>143</v>
      </c>
      <c r="C18" s="96">
        <v>-504563.25444000005</v>
      </c>
      <c r="D18" s="96">
        <v>-501896.01413144299</v>
      </c>
      <c r="E18" s="96">
        <f t="shared" ref="E18:E51" si="3">+C18-D18</f>
        <v>-2667.240308557055</v>
      </c>
      <c r="F18" s="96">
        <v>0</v>
      </c>
      <c r="G18" s="96">
        <f t="shared" si="1"/>
        <v>-2667.240308557055</v>
      </c>
      <c r="H18" s="96">
        <v>0</v>
      </c>
      <c r="I18" s="96">
        <f t="shared" si="2"/>
        <v>-2667.240308557055</v>
      </c>
    </row>
    <row r="19" spans="1:9">
      <c r="B19" s="95" t="s">
        <v>144</v>
      </c>
      <c r="C19" s="96">
        <v>61784.459730000002</v>
      </c>
      <c r="D19" s="96">
        <v>61784.459730000002</v>
      </c>
      <c r="E19" s="96">
        <f t="shared" si="3"/>
        <v>0</v>
      </c>
      <c r="F19" s="96">
        <v>0</v>
      </c>
      <c r="G19" s="96">
        <f t="shared" si="1"/>
        <v>0</v>
      </c>
      <c r="H19" s="96">
        <v>0</v>
      </c>
      <c r="I19" s="96">
        <f t="shared" si="2"/>
        <v>0</v>
      </c>
    </row>
    <row r="20" spans="1:9" s="48" customFormat="1">
      <c r="A20" s="93"/>
      <c r="B20" s="95" t="s">
        <v>161</v>
      </c>
      <c r="C20" s="96">
        <v>-49137.727799999993</v>
      </c>
      <c r="D20" s="96">
        <v>-49137.727799999993</v>
      </c>
      <c r="E20" s="96">
        <f t="shared" si="3"/>
        <v>0</v>
      </c>
      <c r="F20" s="96">
        <v>0</v>
      </c>
      <c r="G20" s="96">
        <f t="shared" si="1"/>
        <v>0</v>
      </c>
      <c r="H20" s="96">
        <v>0</v>
      </c>
      <c r="I20" s="96">
        <f t="shared" si="2"/>
        <v>0</v>
      </c>
    </row>
    <row r="21" spans="1:9" s="48" customFormat="1">
      <c r="A21" s="93"/>
      <c r="B21" s="95" t="s">
        <v>198</v>
      </c>
      <c r="C21" s="96">
        <v>-41396.25</v>
      </c>
      <c r="D21" s="96">
        <v>-41396.25</v>
      </c>
      <c r="E21" s="96">
        <f t="shared" si="3"/>
        <v>0</v>
      </c>
      <c r="F21" s="96">
        <v>0</v>
      </c>
      <c r="G21" s="96">
        <f t="shared" si="1"/>
        <v>0</v>
      </c>
      <c r="H21" s="96">
        <v>0</v>
      </c>
      <c r="I21" s="96">
        <f t="shared" si="2"/>
        <v>0</v>
      </c>
    </row>
    <row r="22" spans="1:9" s="48" customFormat="1">
      <c r="A22" s="93"/>
      <c r="B22" s="95" t="s">
        <v>145</v>
      </c>
      <c r="C22" s="96">
        <v>-121705.43355816448</v>
      </c>
      <c r="D22" s="96">
        <v>-101330.25497521996</v>
      </c>
      <c r="E22" s="96">
        <f t="shared" si="3"/>
        <v>-20375.178582944529</v>
      </c>
      <c r="F22" s="96">
        <v>0</v>
      </c>
      <c r="G22" s="96">
        <f t="shared" si="1"/>
        <v>-20375.178582944529</v>
      </c>
      <c r="H22" s="96">
        <v>0</v>
      </c>
      <c r="I22" s="96">
        <f t="shared" si="2"/>
        <v>-20375.178582944529</v>
      </c>
    </row>
    <row r="23" spans="1:9" s="48" customFormat="1">
      <c r="A23" s="93"/>
      <c r="B23" s="95" t="s">
        <v>146</v>
      </c>
      <c r="C23" s="96">
        <v>1953263.0125049998</v>
      </c>
      <c r="D23" s="96">
        <v>1746231.9925049997</v>
      </c>
      <c r="E23" s="96">
        <f t="shared" si="3"/>
        <v>207031.02000000002</v>
      </c>
      <c r="F23" s="96">
        <v>0</v>
      </c>
      <c r="G23" s="96">
        <f t="shared" si="1"/>
        <v>207031.02000000002</v>
      </c>
      <c r="H23" s="96">
        <v>0</v>
      </c>
      <c r="I23" s="96">
        <f t="shared" si="2"/>
        <v>207031.02000000002</v>
      </c>
    </row>
    <row r="24" spans="1:9" s="48" customFormat="1">
      <c r="A24" s="93"/>
      <c r="B24" s="95" t="s">
        <v>162</v>
      </c>
      <c r="C24" s="96">
        <v>-51608514.94662936</v>
      </c>
      <c r="D24" s="96">
        <v>-42394293.585624009</v>
      </c>
      <c r="E24" s="96">
        <f t="shared" si="3"/>
        <v>-9214221.3610053509</v>
      </c>
      <c r="F24" s="96">
        <v>0</v>
      </c>
      <c r="G24" s="96">
        <f t="shared" si="1"/>
        <v>-9214221.3610053509</v>
      </c>
      <c r="H24" s="96">
        <v>0</v>
      </c>
      <c r="I24" s="96">
        <f t="shared" si="2"/>
        <v>-9214221.3610053509</v>
      </c>
    </row>
    <row r="25" spans="1:9" s="48" customFormat="1">
      <c r="A25" s="93"/>
      <c r="B25" s="95" t="s">
        <v>246</v>
      </c>
      <c r="C25" s="96">
        <v>-3171675.6899250713</v>
      </c>
      <c r="D25" s="96">
        <v>-3283574.6036597211</v>
      </c>
      <c r="E25" s="96">
        <f t="shared" si="3"/>
        <v>111898.91373464977</v>
      </c>
      <c r="F25" s="96">
        <v>0</v>
      </c>
      <c r="G25" s="96">
        <f t="shared" si="1"/>
        <v>111898.91373464977</v>
      </c>
      <c r="H25" s="96">
        <v>0</v>
      </c>
      <c r="I25" s="96">
        <f t="shared" si="2"/>
        <v>111898.91373464977</v>
      </c>
    </row>
    <row r="26" spans="1:9" s="48" customFormat="1">
      <c r="A26" s="93"/>
      <c r="B26" s="28" t="s">
        <v>147</v>
      </c>
      <c r="C26" s="96">
        <v>2480487.2758133113</v>
      </c>
      <c r="D26" s="96">
        <v>2480487.2758133113</v>
      </c>
      <c r="E26" s="96">
        <f t="shared" si="3"/>
        <v>0</v>
      </c>
      <c r="F26" s="96">
        <v>0</v>
      </c>
      <c r="G26" s="96">
        <f t="shared" si="1"/>
        <v>0</v>
      </c>
      <c r="H26" s="96">
        <v>0</v>
      </c>
      <c r="I26" s="96">
        <f t="shared" si="2"/>
        <v>0</v>
      </c>
    </row>
    <row r="27" spans="1:9" s="48" customFormat="1">
      <c r="A27" s="93"/>
      <c r="B27" s="28" t="s">
        <v>148</v>
      </c>
      <c r="C27" s="96">
        <v>-2394000</v>
      </c>
      <c r="D27" s="96">
        <v>-1966676.7181588812</v>
      </c>
      <c r="E27" s="96">
        <f t="shared" si="3"/>
        <v>-427323.28184111882</v>
      </c>
      <c r="F27" s="96">
        <v>0</v>
      </c>
      <c r="G27" s="96">
        <f t="shared" si="1"/>
        <v>-427323.28184111882</v>
      </c>
      <c r="H27" s="96">
        <v>0</v>
      </c>
      <c r="I27" s="96">
        <f t="shared" si="2"/>
        <v>-427323.28184111882</v>
      </c>
    </row>
    <row r="28" spans="1:9" s="48" customFormat="1">
      <c r="A28" s="93"/>
      <c r="B28" s="28" t="s">
        <v>194</v>
      </c>
      <c r="C28" s="96">
        <v>-11353.744500000001</v>
      </c>
      <c r="D28" s="96">
        <v>-11353.744500000001</v>
      </c>
      <c r="E28" s="96">
        <f t="shared" si="3"/>
        <v>0</v>
      </c>
      <c r="F28" s="96">
        <v>0</v>
      </c>
      <c r="G28" s="96">
        <f t="shared" si="1"/>
        <v>0</v>
      </c>
      <c r="H28" s="96">
        <v>0</v>
      </c>
      <c r="I28" s="96">
        <f t="shared" si="2"/>
        <v>0</v>
      </c>
    </row>
    <row r="29" spans="1:9" s="48" customFormat="1">
      <c r="A29" s="93"/>
      <c r="B29" s="28" t="s">
        <v>43</v>
      </c>
      <c r="C29" s="96">
        <v>5719499.4369450007</v>
      </c>
      <c r="D29" s="96">
        <v>4706219.2266194131</v>
      </c>
      <c r="E29" s="96">
        <f t="shared" si="3"/>
        <v>1013280.2103255875</v>
      </c>
      <c r="F29" s="96">
        <v>0</v>
      </c>
      <c r="G29" s="96">
        <f t="shared" si="1"/>
        <v>1013280.2103255875</v>
      </c>
      <c r="H29" s="96">
        <v>0</v>
      </c>
      <c r="I29" s="96">
        <f t="shared" si="2"/>
        <v>1013280.2103255875</v>
      </c>
    </row>
    <row r="30" spans="1:9" s="48" customFormat="1">
      <c r="A30" s="93"/>
      <c r="B30" s="28" t="s">
        <v>197</v>
      </c>
      <c r="C30" s="96">
        <v>-860180.25932842516</v>
      </c>
      <c r="D30" s="96">
        <v>-662338.87828349753</v>
      </c>
      <c r="E30" s="96">
        <f t="shared" si="3"/>
        <v>-197841.38104492764</v>
      </c>
      <c r="F30" s="96">
        <v>0</v>
      </c>
      <c r="G30" s="96">
        <f t="shared" si="1"/>
        <v>-197841.38104492764</v>
      </c>
      <c r="H30" s="96">
        <v>0</v>
      </c>
      <c r="I30" s="96">
        <f t="shared" si="2"/>
        <v>-197841.38104492764</v>
      </c>
    </row>
    <row r="31" spans="1:9" s="48" customFormat="1">
      <c r="A31" s="93"/>
      <c r="B31" s="28" t="s">
        <v>149</v>
      </c>
      <c r="C31" s="96">
        <v>-240835.34592005229</v>
      </c>
      <c r="D31" s="96">
        <v>-188277.10944319781</v>
      </c>
      <c r="E31" s="96">
        <f t="shared" si="3"/>
        <v>-52558.236476854479</v>
      </c>
      <c r="F31" s="96">
        <v>0</v>
      </c>
      <c r="G31" s="96">
        <f t="shared" si="1"/>
        <v>-52558.236476854479</v>
      </c>
      <c r="H31" s="96">
        <v>0</v>
      </c>
      <c r="I31" s="96">
        <f t="shared" si="2"/>
        <v>-52558.236476854479</v>
      </c>
    </row>
    <row r="32" spans="1:9" s="48" customFormat="1">
      <c r="A32" s="93"/>
      <c r="B32" s="28" t="s">
        <v>163</v>
      </c>
      <c r="C32" s="96">
        <v>500640.364245</v>
      </c>
      <c r="D32" s="96">
        <v>552100.92440999998</v>
      </c>
      <c r="E32" s="96">
        <f t="shared" si="3"/>
        <v>-51460.560164999973</v>
      </c>
      <c r="F32" s="96">
        <v>0</v>
      </c>
      <c r="G32" s="96">
        <f t="shared" si="1"/>
        <v>-51460.560164999973</v>
      </c>
      <c r="H32" s="96">
        <v>0</v>
      </c>
      <c r="I32" s="96">
        <f t="shared" si="2"/>
        <v>-51460.560164999973</v>
      </c>
    </row>
    <row r="33" spans="1:9" s="48" customFormat="1">
      <c r="A33" s="93"/>
      <c r="B33" s="28" t="s">
        <v>164</v>
      </c>
      <c r="C33" s="96">
        <v>151290.56964</v>
      </c>
      <c r="D33" s="96">
        <v>42189.410130000004</v>
      </c>
      <c r="E33" s="96">
        <f t="shared" si="3"/>
        <v>109101.15951</v>
      </c>
      <c r="F33" s="96">
        <v>0</v>
      </c>
      <c r="G33" s="96">
        <f t="shared" si="1"/>
        <v>109101.15951</v>
      </c>
      <c r="H33" s="96">
        <v>0</v>
      </c>
      <c r="I33" s="96">
        <f t="shared" si="2"/>
        <v>109101.15951</v>
      </c>
    </row>
    <row r="34" spans="1:9" s="48" customFormat="1">
      <c r="A34" s="93"/>
      <c r="B34" s="28" t="s">
        <v>165</v>
      </c>
      <c r="C34" s="96">
        <v>-651930.93388500006</v>
      </c>
      <c r="D34" s="96">
        <v>-594290.33454000007</v>
      </c>
      <c r="E34" s="96">
        <f t="shared" si="3"/>
        <v>-57640.599344999995</v>
      </c>
      <c r="F34" s="96">
        <v>0</v>
      </c>
      <c r="G34" s="96">
        <f t="shared" si="1"/>
        <v>-57640.599344999995</v>
      </c>
      <c r="H34" s="96">
        <v>0</v>
      </c>
      <c r="I34" s="96">
        <f t="shared" si="2"/>
        <v>-57640.599344999995</v>
      </c>
    </row>
    <row r="35" spans="1:9" s="48" customFormat="1">
      <c r="A35" s="93"/>
      <c r="B35" s="28" t="s">
        <v>150</v>
      </c>
      <c r="C35" s="96">
        <v>1894758.2510104524</v>
      </c>
      <c r="D35" s="96">
        <v>1475962.3013403199</v>
      </c>
      <c r="E35" s="96">
        <f t="shared" si="3"/>
        <v>418795.94967013248</v>
      </c>
      <c r="F35" s="96">
        <v>0</v>
      </c>
      <c r="G35" s="96">
        <f t="shared" si="1"/>
        <v>418795.94967013248</v>
      </c>
      <c r="H35" s="96">
        <v>0</v>
      </c>
      <c r="I35" s="96">
        <f t="shared" si="2"/>
        <v>418795.94967013248</v>
      </c>
    </row>
    <row r="36" spans="1:9" s="48" customFormat="1">
      <c r="A36" s="93"/>
      <c r="B36" s="28" t="s">
        <v>151</v>
      </c>
      <c r="C36" s="96">
        <v>-1634674.6578606577</v>
      </c>
      <c r="D36" s="96">
        <v>-1340154.7695782736</v>
      </c>
      <c r="E36" s="96">
        <f t="shared" si="3"/>
        <v>-294519.88828238402</v>
      </c>
      <c r="F36" s="96">
        <v>0</v>
      </c>
      <c r="G36" s="96">
        <f t="shared" si="1"/>
        <v>-294519.88828238402</v>
      </c>
      <c r="H36" s="96">
        <v>0</v>
      </c>
      <c r="I36" s="96">
        <f t="shared" si="2"/>
        <v>-294519.88828238402</v>
      </c>
    </row>
    <row r="37" spans="1:9" s="48" customFormat="1">
      <c r="A37" s="93"/>
      <c r="B37" s="28" t="s">
        <v>152</v>
      </c>
      <c r="C37" s="96">
        <v>286771.6821521204</v>
      </c>
      <c r="D37" s="96">
        <v>229388.70705616588</v>
      </c>
      <c r="E37" s="96">
        <f t="shared" si="3"/>
        <v>57382.97509595452</v>
      </c>
      <c r="F37" s="96">
        <v>0</v>
      </c>
      <c r="G37" s="96">
        <f t="shared" si="1"/>
        <v>57382.97509595452</v>
      </c>
      <c r="H37" s="96">
        <v>0</v>
      </c>
      <c r="I37" s="96">
        <f t="shared" si="2"/>
        <v>57382.97509595452</v>
      </c>
    </row>
    <row r="38" spans="1:9">
      <c r="B38" s="28" t="s">
        <v>153</v>
      </c>
      <c r="C38" s="96">
        <v>-478398.58617870987</v>
      </c>
      <c r="D38" s="96">
        <v>-382671.18868633214</v>
      </c>
      <c r="E38" s="96">
        <f t="shared" si="3"/>
        <v>-95727.397492377728</v>
      </c>
      <c r="F38" s="96">
        <v>0</v>
      </c>
      <c r="G38" s="96">
        <f t="shared" si="1"/>
        <v>-95727.397492377728</v>
      </c>
      <c r="H38" s="96">
        <v>0</v>
      </c>
      <c r="I38" s="96">
        <f t="shared" si="2"/>
        <v>-95727.397492377728</v>
      </c>
    </row>
    <row r="39" spans="1:9">
      <c r="B39" s="95" t="s">
        <v>251</v>
      </c>
      <c r="C39" s="96">
        <v>-148756.86377999999</v>
      </c>
      <c r="D39" s="96">
        <v>-155092.10996999999</v>
      </c>
      <c r="E39" s="96">
        <f t="shared" si="3"/>
        <v>6335.2461900000053</v>
      </c>
      <c r="F39" s="96">
        <v>0</v>
      </c>
      <c r="G39" s="96">
        <f t="shared" si="1"/>
        <v>6335.2461900000053</v>
      </c>
      <c r="H39" s="96">
        <v>0</v>
      </c>
      <c r="I39" s="96">
        <f t="shared" si="2"/>
        <v>6335.2461900000053</v>
      </c>
    </row>
    <row r="40" spans="1:9">
      <c r="B40" s="95" t="s">
        <v>252</v>
      </c>
      <c r="C40" s="96">
        <v>201265.89420000001</v>
      </c>
      <c r="D40" s="96">
        <v>201265.89420000001</v>
      </c>
      <c r="E40" s="96">
        <f t="shared" si="3"/>
        <v>0</v>
      </c>
      <c r="F40" s="96">
        <v>0</v>
      </c>
      <c r="G40" s="96">
        <f t="shared" si="1"/>
        <v>0</v>
      </c>
      <c r="H40" s="96">
        <v>0</v>
      </c>
      <c r="I40" s="96">
        <f t="shared" si="2"/>
        <v>0</v>
      </c>
    </row>
    <row r="41" spans="1:9" s="48" customFormat="1">
      <c r="A41" s="93"/>
      <c r="B41" s="95" t="s">
        <v>154</v>
      </c>
      <c r="C41" s="96">
        <v>-1221438.4308000002</v>
      </c>
      <c r="D41" s="96">
        <v>-940507.59211500024</v>
      </c>
      <c r="E41" s="96">
        <f t="shared" si="3"/>
        <v>-280930.83868499997</v>
      </c>
      <c r="F41" s="96">
        <v>0</v>
      </c>
      <c r="G41" s="96">
        <f t="shared" si="1"/>
        <v>-280930.83868499997</v>
      </c>
      <c r="H41" s="96">
        <v>0</v>
      </c>
      <c r="I41" s="96">
        <f t="shared" si="2"/>
        <v>-280930.83868499997</v>
      </c>
    </row>
    <row r="42" spans="1:9" s="93" customFormat="1">
      <c r="B42" s="28" t="s">
        <v>199</v>
      </c>
      <c r="C42" s="96">
        <v>-299415.70190700016</v>
      </c>
      <c r="D42" s="96">
        <v>-299415.70190700016</v>
      </c>
      <c r="E42" s="96">
        <f t="shared" si="3"/>
        <v>0</v>
      </c>
      <c r="F42" s="96">
        <v>0</v>
      </c>
      <c r="G42" s="96">
        <f t="shared" si="1"/>
        <v>0</v>
      </c>
      <c r="H42" s="92">
        <v>0</v>
      </c>
      <c r="I42" s="96">
        <f t="shared" si="2"/>
        <v>0</v>
      </c>
    </row>
    <row r="43" spans="1:9" s="48" customFormat="1">
      <c r="A43" s="93"/>
      <c r="B43" s="95" t="s">
        <v>155</v>
      </c>
      <c r="C43" s="96">
        <v>150099.33120000002</v>
      </c>
      <c r="D43" s="96">
        <v>115576.48462500001</v>
      </c>
      <c r="E43" s="96">
        <f t="shared" si="3"/>
        <v>34522.846575000003</v>
      </c>
      <c r="F43" s="96">
        <v>0</v>
      </c>
      <c r="G43" s="96">
        <f t="shared" si="1"/>
        <v>34522.846575000003</v>
      </c>
      <c r="H43" s="96">
        <v>0</v>
      </c>
      <c r="I43" s="96">
        <f t="shared" si="2"/>
        <v>34522.846575000003</v>
      </c>
    </row>
    <row r="44" spans="1:9" s="48" customFormat="1">
      <c r="A44" s="93"/>
      <c r="B44" s="95" t="s">
        <v>156</v>
      </c>
      <c r="C44" s="96">
        <v>-963060.83392728586</v>
      </c>
      <c r="D44" s="96">
        <v>0</v>
      </c>
      <c r="E44" s="96">
        <f t="shared" si="3"/>
        <v>-963060.83392728586</v>
      </c>
      <c r="F44" s="96">
        <v>0</v>
      </c>
      <c r="G44" s="96">
        <f t="shared" si="1"/>
        <v>-963060.83392728586</v>
      </c>
      <c r="H44" s="96">
        <v>0</v>
      </c>
      <c r="I44" s="96">
        <f t="shared" si="2"/>
        <v>-963060.83392728586</v>
      </c>
    </row>
    <row r="45" spans="1:9" s="48" customFormat="1">
      <c r="A45" s="93"/>
      <c r="B45" s="95" t="s">
        <v>157</v>
      </c>
      <c r="C45" s="96">
        <v>-36804.466229999998</v>
      </c>
      <c r="D45" s="96">
        <v>-36804.466229999998</v>
      </c>
      <c r="E45" s="96">
        <f t="shared" si="3"/>
        <v>0</v>
      </c>
      <c r="F45" s="96">
        <v>0</v>
      </c>
      <c r="G45" s="96">
        <f t="shared" si="1"/>
        <v>0</v>
      </c>
      <c r="H45" s="96">
        <v>0</v>
      </c>
      <c r="I45" s="96">
        <f t="shared" si="2"/>
        <v>0</v>
      </c>
    </row>
    <row r="46" spans="1:9">
      <c r="B46" s="95" t="s">
        <v>195</v>
      </c>
      <c r="C46" s="96">
        <v>175562.093154</v>
      </c>
      <c r="D46" s="96">
        <v>175562.093154</v>
      </c>
      <c r="E46" s="96">
        <f t="shared" si="3"/>
        <v>0</v>
      </c>
      <c r="F46" s="96">
        <v>0</v>
      </c>
      <c r="G46" s="96">
        <f t="shared" si="1"/>
        <v>0</v>
      </c>
      <c r="H46" s="96">
        <v>0</v>
      </c>
      <c r="I46" s="96">
        <f t="shared" si="2"/>
        <v>0</v>
      </c>
    </row>
    <row r="47" spans="1:9" s="48" customFormat="1">
      <c r="A47" s="93"/>
      <c r="B47" s="95" t="s">
        <v>46</v>
      </c>
      <c r="C47" s="96">
        <v>-65437.023114416857</v>
      </c>
      <c r="D47" s="96">
        <v>-56424.4197918106</v>
      </c>
      <c r="E47" s="96">
        <f t="shared" si="3"/>
        <v>-9012.6033226062573</v>
      </c>
      <c r="F47" s="96">
        <v>0</v>
      </c>
      <c r="G47" s="96">
        <f t="shared" si="1"/>
        <v>-9012.6033226062573</v>
      </c>
      <c r="H47" s="96">
        <v>0</v>
      </c>
      <c r="I47" s="96">
        <f t="shared" si="2"/>
        <v>-9012.6033226062573</v>
      </c>
    </row>
    <row r="48" spans="1:9">
      <c r="B48" s="95" t="s">
        <v>124</v>
      </c>
      <c r="C48" s="96">
        <v>-189047.89575000003</v>
      </c>
      <c r="D48" s="96">
        <v>-189047.89575000003</v>
      </c>
      <c r="E48" s="96">
        <f t="shared" si="3"/>
        <v>0</v>
      </c>
      <c r="F48" s="96">
        <v>0</v>
      </c>
      <c r="G48" s="96">
        <f t="shared" si="1"/>
        <v>0</v>
      </c>
      <c r="H48" s="96">
        <v>0</v>
      </c>
      <c r="I48" s="96">
        <f t="shared" si="2"/>
        <v>0</v>
      </c>
    </row>
    <row r="49" spans="1:9">
      <c r="B49" s="95" t="s">
        <v>166</v>
      </c>
      <c r="C49" s="96">
        <v>51955057.197595842</v>
      </c>
      <c r="D49" s="96">
        <v>41476899.573201716</v>
      </c>
      <c r="E49" s="96">
        <f t="shared" si="3"/>
        <v>10478157.624394126</v>
      </c>
      <c r="F49" s="96">
        <v>0</v>
      </c>
      <c r="G49" s="96">
        <f t="shared" si="1"/>
        <v>10478157.624394126</v>
      </c>
      <c r="H49" s="96">
        <v>0</v>
      </c>
      <c r="I49" s="96">
        <f t="shared" si="2"/>
        <v>10478157.624394126</v>
      </c>
    </row>
    <row r="50" spans="1:9" s="48" customFormat="1">
      <c r="A50" s="93"/>
      <c r="B50" s="28" t="s">
        <v>196</v>
      </c>
      <c r="C50" s="96">
        <v>1780047.3141674998</v>
      </c>
      <c r="D50" s="96">
        <v>1396970.7340562246</v>
      </c>
      <c r="E50" s="96">
        <f t="shared" si="3"/>
        <v>383076.58011127519</v>
      </c>
      <c r="F50" s="96">
        <v>0</v>
      </c>
      <c r="G50" s="96">
        <f t="shared" si="1"/>
        <v>383076.58011127519</v>
      </c>
      <c r="H50" s="96">
        <v>0</v>
      </c>
      <c r="I50" s="96">
        <f t="shared" si="2"/>
        <v>383076.58011127519</v>
      </c>
    </row>
    <row r="51" spans="1:9" s="48" customFormat="1">
      <c r="A51" s="93"/>
      <c r="B51" s="95" t="s">
        <v>167</v>
      </c>
      <c r="C51" s="97">
        <v>5269438.4722875003</v>
      </c>
      <c r="D51" s="97">
        <v>4313470.0092444178</v>
      </c>
      <c r="E51" s="97">
        <f t="shared" si="3"/>
        <v>955968.46304308251</v>
      </c>
      <c r="F51" s="97">
        <v>0</v>
      </c>
      <c r="G51" s="97">
        <f t="shared" si="1"/>
        <v>955968.46304308251</v>
      </c>
      <c r="H51" s="97">
        <v>0</v>
      </c>
      <c r="I51" s="97">
        <f t="shared" si="2"/>
        <v>955968.46304308251</v>
      </c>
    </row>
    <row r="52" spans="1:9" s="48" customFormat="1">
      <c r="A52" s="93" t="s">
        <v>72</v>
      </c>
      <c r="B52" s="93"/>
      <c r="C52" s="96">
        <f t="shared" ref="C52:I52" si="4">SUM(C17:C51)</f>
        <v>7616697.1411515791</v>
      </c>
      <c r="D52" s="96">
        <f t="shared" si="4"/>
        <v>5508485.5529811792</v>
      </c>
      <c r="E52" s="96">
        <f t="shared" si="4"/>
        <v>2108211.5881703971</v>
      </c>
      <c r="F52" s="96">
        <f t="shared" si="4"/>
        <v>0</v>
      </c>
      <c r="G52" s="96">
        <f t="shared" si="4"/>
        <v>2108211.5881703971</v>
      </c>
      <c r="H52" s="96">
        <f t="shared" si="4"/>
        <v>0</v>
      </c>
      <c r="I52" s="96">
        <f t="shared" si="4"/>
        <v>2108211.5881703971</v>
      </c>
    </row>
    <row r="53" spans="1:9" s="48" customFormat="1">
      <c r="A53" s="93" t="s">
        <v>73</v>
      </c>
      <c r="B53" s="93"/>
      <c r="C53" s="96"/>
      <c r="D53" s="96"/>
      <c r="E53" s="96"/>
      <c r="F53" s="96"/>
      <c r="G53" s="96"/>
      <c r="H53" s="96"/>
      <c r="I53" s="96"/>
    </row>
    <row r="54" spans="1:9" s="48" customFormat="1">
      <c r="A54" s="93"/>
      <c r="B54" s="95" t="s">
        <v>127</v>
      </c>
      <c r="C54" s="96">
        <v>-831436.7</v>
      </c>
      <c r="D54" s="96">
        <v>-2111167.09</v>
      </c>
      <c r="E54" s="96">
        <f t="shared" ref="E54:E58" si="5">+C54-D54</f>
        <v>1279730.3899999999</v>
      </c>
      <c r="F54" s="96">
        <v>0</v>
      </c>
      <c r="G54" s="96">
        <f t="shared" ref="G54:G58" si="6">+E54-F54</f>
        <v>1279730.3899999999</v>
      </c>
      <c r="H54" s="96">
        <v>0</v>
      </c>
      <c r="I54" s="96">
        <f t="shared" ref="I54:I58" si="7">+G54-H54</f>
        <v>1279730.3899999999</v>
      </c>
    </row>
    <row r="55" spans="1:9" s="48" customFormat="1">
      <c r="A55" s="93"/>
      <c r="B55" s="95" t="s">
        <v>253</v>
      </c>
      <c r="C55" s="96">
        <v>-8621329.2599999998</v>
      </c>
      <c r="D55" s="96">
        <v>-7334723.6099999994</v>
      </c>
      <c r="E55" s="96">
        <f t="shared" si="5"/>
        <v>-1286605.6500000004</v>
      </c>
      <c r="F55" s="96">
        <v>0</v>
      </c>
      <c r="G55" s="96">
        <f t="shared" si="6"/>
        <v>-1286605.6500000004</v>
      </c>
      <c r="H55" s="96">
        <v>0</v>
      </c>
      <c r="I55" s="96">
        <f t="shared" si="7"/>
        <v>-1286605.6500000004</v>
      </c>
    </row>
    <row r="56" spans="1:9" s="48" customFormat="1">
      <c r="A56" s="93"/>
      <c r="B56" s="87" t="s">
        <v>204</v>
      </c>
      <c r="C56" s="96">
        <v>-1344779.96</v>
      </c>
      <c r="D56" s="96">
        <v>-1181355.1599999999</v>
      </c>
      <c r="E56" s="96">
        <f t="shared" si="5"/>
        <v>-163424.80000000005</v>
      </c>
      <c r="F56" s="96">
        <v>0</v>
      </c>
      <c r="G56" s="96">
        <f t="shared" si="6"/>
        <v>-163424.80000000005</v>
      </c>
      <c r="H56" s="96">
        <v>0</v>
      </c>
      <c r="I56" s="96">
        <f t="shared" si="7"/>
        <v>-163424.80000000005</v>
      </c>
    </row>
    <row r="57" spans="1:9" s="48" customFormat="1">
      <c r="A57" s="93"/>
      <c r="B57" s="87" t="s">
        <v>74</v>
      </c>
      <c r="C57" s="96">
        <v>93163.739999999991</v>
      </c>
      <c r="D57" s="96">
        <v>93163.739999999991</v>
      </c>
      <c r="E57" s="96">
        <f t="shared" si="5"/>
        <v>0</v>
      </c>
      <c r="F57" s="96">
        <v>0</v>
      </c>
      <c r="G57" s="96">
        <f t="shared" si="6"/>
        <v>0</v>
      </c>
      <c r="H57" s="96">
        <v>0</v>
      </c>
      <c r="I57" s="96">
        <f t="shared" si="7"/>
        <v>0</v>
      </c>
    </row>
    <row r="58" spans="1:9" s="48" customFormat="1">
      <c r="A58" s="93"/>
      <c r="B58" s="98" t="s">
        <v>14</v>
      </c>
      <c r="C58" s="96">
        <v>0</v>
      </c>
      <c r="D58" s="96">
        <v>0</v>
      </c>
      <c r="E58" s="96">
        <f t="shared" si="5"/>
        <v>0</v>
      </c>
      <c r="F58" s="96">
        <v>0</v>
      </c>
      <c r="G58" s="96">
        <f t="shared" si="6"/>
        <v>0</v>
      </c>
      <c r="H58" s="96">
        <v>0</v>
      </c>
      <c r="I58" s="97">
        <f t="shared" si="7"/>
        <v>0</v>
      </c>
    </row>
    <row r="59" spans="1:9" s="48" customFormat="1" ht="13.5" thickBot="1">
      <c r="A59" s="93" t="s">
        <v>75</v>
      </c>
      <c r="B59" s="98"/>
      <c r="C59" s="100">
        <f t="shared" ref="C59:I59" si="8">SUM(C52:C58)</f>
        <v>-3087685.0388484206</v>
      </c>
      <c r="D59" s="100">
        <f t="shared" si="8"/>
        <v>-5025596.56701882</v>
      </c>
      <c r="E59" s="100">
        <f t="shared" si="8"/>
        <v>1937911.5281703963</v>
      </c>
      <c r="F59" s="100">
        <f t="shared" si="8"/>
        <v>0</v>
      </c>
      <c r="G59" s="100">
        <f t="shared" si="8"/>
        <v>1937911.5281703963</v>
      </c>
      <c r="H59" s="100">
        <f t="shared" si="8"/>
        <v>0</v>
      </c>
      <c r="I59" s="100">
        <f t="shared" si="8"/>
        <v>1937911.5281703963</v>
      </c>
    </row>
    <row r="60" spans="1:9" s="48" customFormat="1" ht="13.5" thickTop="1">
      <c r="A60" s="93"/>
      <c r="B60" s="58"/>
      <c r="C60" s="58"/>
      <c r="D60" s="58"/>
      <c r="E60" s="58"/>
      <c r="F60" s="58"/>
      <c r="G60" s="58"/>
      <c r="H60" s="58"/>
      <c r="I60" s="58"/>
    </row>
    <row r="61" spans="1:9" s="48" customFormat="1">
      <c r="A61" s="93" t="s">
        <v>76</v>
      </c>
      <c r="B61" s="93"/>
      <c r="C61" s="92"/>
      <c r="D61" s="92"/>
      <c r="E61" s="92"/>
      <c r="F61" s="92"/>
      <c r="G61" s="92"/>
      <c r="H61" s="92"/>
      <c r="I61" s="92"/>
    </row>
    <row r="62" spans="1:9" s="48" customFormat="1">
      <c r="A62" s="93"/>
      <c r="B62" s="28" t="s">
        <v>142</v>
      </c>
      <c r="C62" s="96">
        <v>-67904.804000000004</v>
      </c>
      <c r="D62" s="96">
        <v>-67904.804000000004</v>
      </c>
      <c r="E62" s="96">
        <f>+C62-D62</f>
        <v>0</v>
      </c>
      <c r="F62" s="96">
        <v>0</v>
      </c>
      <c r="G62" s="96">
        <f t="shared" ref="G62:G95" si="9">+E62-F62</f>
        <v>0</v>
      </c>
      <c r="H62" s="96">
        <v>0</v>
      </c>
      <c r="I62" s="96">
        <f t="shared" ref="I62:I95" si="10">+G62-H62</f>
        <v>0</v>
      </c>
    </row>
    <row r="63" spans="1:9" s="48" customFormat="1">
      <c r="A63" s="93"/>
      <c r="B63" s="28" t="s">
        <v>143</v>
      </c>
      <c r="C63" s="96">
        <v>-126456.95600000001</v>
      </c>
      <c r="D63" s="92">
        <v>-125788.47471965989</v>
      </c>
      <c r="E63" s="96">
        <f t="shared" ref="E63:E95" si="11">+C63-D63</f>
        <v>-668.48128034011461</v>
      </c>
      <c r="F63" s="96">
        <v>0</v>
      </c>
      <c r="G63" s="96">
        <f t="shared" si="9"/>
        <v>-668.48128034011461</v>
      </c>
      <c r="H63" s="96">
        <v>0</v>
      </c>
      <c r="I63" s="96">
        <f t="shared" si="10"/>
        <v>-668.48128034011461</v>
      </c>
    </row>
    <row r="64" spans="1:9" s="48" customFormat="1">
      <c r="A64" s="93"/>
      <c r="B64" s="28" t="s">
        <v>144</v>
      </c>
      <c r="C64" s="96">
        <v>15484.827000000001</v>
      </c>
      <c r="D64" s="92">
        <v>15484.827000000001</v>
      </c>
      <c r="E64" s="96">
        <f t="shared" si="11"/>
        <v>0</v>
      </c>
      <c r="F64" s="96">
        <v>0</v>
      </c>
      <c r="G64" s="96">
        <f t="shared" si="9"/>
        <v>0</v>
      </c>
      <c r="H64" s="96">
        <v>0</v>
      </c>
      <c r="I64" s="96">
        <f t="shared" si="10"/>
        <v>0</v>
      </c>
    </row>
    <row r="65" spans="1:13" s="48" customFormat="1">
      <c r="A65" s="93"/>
      <c r="B65" s="28" t="s">
        <v>161</v>
      </c>
      <c r="C65" s="96">
        <v>-12315.219999999998</v>
      </c>
      <c r="D65" s="92">
        <v>-12315.219999999998</v>
      </c>
      <c r="E65" s="96">
        <f t="shared" si="11"/>
        <v>0</v>
      </c>
      <c r="F65" s="96">
        <v>0</v>
      </c>
      <c r="G65" s="96">
        <f t="shared" si="9"/>
        <v>0</v>
      </c>
      <c r="H65" s="96">
        <v>0</v>
      </c>
      <c r="I65" s="96">
        <f t="shared" si="10"/>
        <v>0</v>
      </c>
    </row>
    <row r="66" spans="1:13" s="48" customFormat="1">
      <c r="A66" s="93"/>
      <c r="B66" s="28" t="s">
        <v>198</v>
      </c>
      <c r="C66" s="96">
        <v>-10375</v>
      </c>
      <c r="D66" s="92">
        <v>-10375</v>
      </c>
      <c r="E66" s="96">
        <f t="shared" si="11"/>
        <v>0</v>
      </c>
      <c r="F66" s="96">
        <v>0</v>
      </c>
      <c r="G66" s="96">
        <f t="shared" si="9"/>
        <v>0</v>
      </c>
      <c r="H66" s="96">
        <v>0</v>
      </c>
      <c r="I66" s="96">
        <f t="shared" si="10"/>
        <v>0</v>
      </c>
    </row>
    <row r="67" spans="1:13" s="48" customFormat="1">
      <c r="A67" s="93"/>
      <c r="B67" s="28" t="s">
        <v>145</v>
      </c>
      <c r="C67" s="96">
        <v>-30502.614926858267</v>
      </c>
      <c r="D67" s="92">
        <v>-25396.05387850124</v>
      </c>
      <c r="E67" s="96">
        <f t="shared" si="11"/>
        <v>-5106.5610483570272</v>
      </c>
      <c r="F67" s="96">
        <v>0</v>
      </c>
      <c r="G67" s="96">
        <f t="shared" si="9"/>
        <v>-5106.5610483570272</v>
      </c>
      <c r="H67" s="96">
        <v>0</v>
      </c>
      <c r="I67" s="96">
        <f t="shared" si="10"/>
        <v>-5106.5610483570272</v>
      </c>
    </row>
    <row r="68" spans="1:13" s="48" customFormat="1">
      <c r="A68" s="93"/>
      <c r="B68" s="28" t="s">
        <v>162</v>
      </c>
      <c r="C68" s="96">
        <v>-12934464.898904603</v>
      </c>
      <c r="D68" s="92">
        <v>-10625136.236998498</v>
      </c>
      <c r="E68" s="96">
        <f t="shared" si="11"/>
        <v>-2309328.6619061045</v>
      </c>
      <c r="F68" s="96">
        <v>0</v>
      </c>
      <c r="G68" s="96">
        <f t="shared" si="9"/>
        <v>-2309328.6619061045</v>
      </c>
      <c r="H68" s="96">
        <v>0</v>
      </c>
      <c r="I68" s="96">
        <f t="shared" si="10"/>
        <v>-2309328.6619061045</v>
      </c>
    </row>
    <row r="69" spans="1:13" s="48" customFormat="1">
      <c r="A69" s="93"/>
      <c r="B69" s="28" t="s">
        <v>246</v>
      </c>
      <c r="C69" s="96">
        <v>-794906.18795114569</v>
      </c>
      <c r="D69" s="92">
        <v>-822951.02848614566</v>
      </c>
      <c r="E69" s="96">
        <f t="shared" si="11"/>
        <v>28044.840534999967</v>
      </c>
      <c r="F69" s="96">
        <v>0</v>
      </c>
      <c r="G69" s="96">
        <f t="shared" si="9"/>
        <v>28044.840534999967</v>
      </c>
      <c r="H69" s="96">
        <v>0</v>
      </c>
      <c r="I69" s="96">
        <f t="shared" si="10"/>
        <v>28044.840534999967</v>
      </c>
    </row>
    <row r="70" spans="1:13" s="48" customFormat="1">
      <c r="A70" s="93"/>
      <c r="B70" s="28" t="s">
        <v>147</v>
      </c>
      <c r="C70" s="96">
        <v>621676.0089757673</v>
      </c>
      <c r="D70" s="92">
        <v>621676.0089757673</v>
      </c>
      <c r="E70" s="96">
        <f t="shared" si="11"/>
        <v>0</v>
      </c>
      <c r="F70" s="96">
        <v>0</v>
      </c>
      <c r="G70" s="96">
        <f t="shared" si="9"/>
        <v>0</v>
      </c>
      <c r="H70" s="96">
        <v>0</v>
      </c>
      <c r="I70" s="96">
        <f t="shared" si="10"/>
        <v>0</v>
      </c>
    </row>
    <row r="71" spans="1:13" s="48" customFormat="1">
      <c r="A71" s="93"/>
      <c r="B71" s="28" t="s">
        <v>148</v>
      </c>
      <c r="C71" s="96">
        <v>-600000</v>
      </c>
      <c r="D71" s="92">
        <v>-492901.43312252662</v>
      </c>
      <c r="E71" s="96">
        <f t="shared" si="11"/>
        <v>-107098.56687747338</v>
      </c>
      <c r="F71" s="96">
        <v>0</v>
      </c>
      <c r="G71" s="96">
        <f t="shared" si="9"/>
        <v>-107098.56687747338</v>
      </c>
      <c r="H71" s="96">
        <v>0</v>
      </c>
      <c r="I71" s="96">
        <f t="shared" si="10"/>
        <v>-107098.56687747338</v>
      </c>
    </row>
    <row r="72" spans="1:13" s="48" customFormat="1">
      <c r="A72" s="93"/>
      <c r="B72" s="28" t="s">
        <v>194</v>
      </c>
      <c r="C72" s="96">
        <v>-2845.55</v>
      </c>
      <c r="D72" s="92">
        <v>-2845.55</v>
      </c>
      <c r="E72" s="96">
        <f t="shared" si="11"/>
        <v>0</v>
      </c>
      <c r="F72" s="96">
        <v>0</v>
      </c>
      <c r="G72" s="96">
        <f t="shared" si="9"/>
        <v>0</v>
      </c>
      <c r="H72" s="96">
        <v>0</v>
      </c>
      <c r="I72" s="96">
        <f t="shared" si="10"/>
        <v>0</v>
      </c>
    </row>
    <row r="73" spans="1:13" s="48" customFormat="1">
      <c r="A73" s="93"/>
      <c r="B73" s="28" t="s">
        <v>43</v>
      </c>
      <c r="C73" s="96">
        <v>1433458.5055000002</v>
      </c>
      <c r="D73" s="92">
        <v>1179503.5655687754</v>
      </c>
      <c r="E73" s="96">
        <f t="shared" si="11"/>
        <v>253954.9399312248</v>
      </c>
      <c r="F73" s="96">
        <v>0</v>
      </c>
      <c r="G73" s="96">
        <f t="shared" si="9"/>
        <v>253954.9399312248</v>
      </c>
      <c r="H73" s="96">
        <v>0</v>
      </c>
      <c r="I73" s="96">
        <f t="shared" si="10"/>
        <v>253954.9399312248</v>
      </c>
    </row>
    <row r="74" spans="1:13" s="48" customFormat="1">
      <c r="A74" s="93"/>
      <c r="B74" s="28" t="s">
        <v>197</v>
      </c>
      <c r="C74" s="96">
        <v>-215584.02489434218</v>
      </c>
      <c r="D74" s="92">
        <v>-165999.71886804453</v>
      </c>
      <c r="E74" s="96">
        <f t="shared" si="11"/>
        <v>-49584.306026297651</v>
      </c>
      <c r="F74" s="96">
        <v>0</v>
      </c>
      <c r="G74" s="96">
        <f t="shared" si="9"/>
        <v>-49584.306026297651</v>
      </c>
      <c r="H74" s="96">
        <v>0</v>
      </c>
      <c r="I74" s="96">
        <f t="shared" si="10"/>
        <v>-49584.306026297651</v>
      </c>
    </row>
    <row r="75" spans="1:13">
      <c r="B75" s="28" t="s">
        <v>149</v>
      </c>
      <c r="C75" s="96">
        <v>-60359.735819561974</v>
      </c>
      <c r="D75" s="92">
        <v>-47187.245474485666</v>
      </c>
      <c r="E75" s="96">
        <f t="shared" si="11"/>
        <v>-13172.490345076309</v>
      </c>
      <c r="F75" s="96">
        <v>0</v>
      </c>
      <c r="G75" s="96">
        <f t="shared" si="9"/>
        <v>-13172.490345076309</v>
      </c>
      <c r="H75" s="96">
        <v>0</v>
      </c>
      <c r="I75" s="96">
        <f t="shared" si="10"/>
        <v>-13172.490345076309</v>
      </c>
    </row>
    <row r="76" spans="1:13">
      <c r="B76" s="28" t="s">
        <v>163</v>
      </c>
      <c r="C76" s="96">
        <v>125473.77549999999</v>
      </c>
      <c r="D76" s="92">
        <v>138371.15899999999</v>
      </c>
      <c r="E76" s="96">
        <f t="shared" si="11"/>
        <v>-12897.383499999996</v>
      </c>
      <c r="F76" s="96">
        <v>0</v>
      </c>
      <c r="G76" s="96">
        <f t="shared" si="9"/>
        <v>-12897.383499999996</v>
      </c>
      <c r="H76" s="96">
        <v>0</v>
      </c>
      <c r="I76" s="96">
        <f t="shared" si="10"/>
        <v>-12897.383499999996</v>
      </c>
    </row>
    <row r="77" spans="1:13">
      <c r="B77" s="28" t="s">
        <v>164</v>
      </c>
      <c r="C77" s="96">
        <v>37917.436000000002</v>
      </c>
      <c r="D77" s="92">
        <v>10573.787</v>
      </c>
      <c r="E77" s="96">
        <f t="shared" si="11"/>
        <v>27343.649000000001</v>
      </c>
      <c r="F77" s="96">
        <v>0</v>
      </c>
      <c r="G77" s="96">
        <f t="shared" si="9"/>
        <v>27343.649000000001</v>
      </c>
      <c r="H77" s="96">
        <v>0</v>
      </c>
      <c r="I77" s="96">
        <f t="shared" si="10"/>
        <v>27343.649000000001</v>
      </c>
      <c r="K77" s="49"/>
      <c r="L77" s="47"/>
      <c r="M77" s="49"/>
    </row>
    <row r="78" spans="1:13">
      <c r="B78" s="28" t="s">
        <v>165</v>
      </c>
      <c r="C78" s="96">
        <v>-163391.2115</v>
      </c>
      <c r="D78" s="92">
        <v>-148944.946</v>
      </c>
      <c r="E78" s="96">
        <f t="shared" si="11"/>
        <v>-14446.265500000009</v>
      </c>
      <c r="F78" s="96">
        <v>0</v>
      </c>
      <c r="G78" s="96">
        <f t="shared" si="9"/>
        <v>-14446.265500000009</v>
      </c>
      <c r="H78" s="96">
        <v>0</v>
      </c>
      <c r="I78" s="96">
        <f t="shared" si="10"/>
        <v>-14446.265500000009</v>
      </c>
      <c r="K78" s="47"/>
      <c r="L78" s="47"/>
      <c r="M78" s="47"/>
    </row>
    <row r="79" spans="1:13">
      <c r="B79" s="28" t="s">
        <v>150</v>
      </c>
      <c r="C79" s="96">
        <v>474876.75463921111</v>
      </c>
      <c r="D79" s="92">
        <v>369915.36374444107</v>
      </c>
      <c r="E79" s="96">
        <f t="shared" si="11"/>
        <v>104961.39089477004</v>
      </c>
      <c r="F79" s="96">
        <v>0</v>
      </c>
      <c r="G79" s="96">
        <f t="shared" si="9"/>
        <v>104961.39089477004</v>
      </c>
      <c r="H79" s="96">
        <v>0</v>
      </c>
      <c r="I79" s="96">
        <f t="shared" si="10"/>
        <v>104961.39089477004</v>
      </c>
      <c r="K79" s="47"/>
      <c r="L79" s="49"/>
      <c r="M79" s="47"/>
    </row>
    <row r="80" spans="1:13">
      <c r="B80" s="28" t="s">
        <v>151</v>
      </c>
      <c r="C80" s="96">
        <v>-409692.89670693176</v>
      </c>
      <c r="D80" s="92">
        <v>-335878.38836548215</v>
      </c>
      <c r="E80" s="96">
        <f t="shared" si="11"/>
        <v>-73814.508341449604</v>
      </c>
      <c r="F80" s="96">
        <v>0</v>
      </c>
      <c r="G80" s="96">
        <f t="shared" si="9"/>
        <v>-73814.508341449604</v>
      </c>
      <c r="H80" s="96">
        <v>0</v>
      </c>
      <c r="I80" s="96">
        <f t="shared" si="10"/>
        <v>-73814.508341449604</v>
      </c>
      <c r="K80" s="49"/>
      <c r="L80" s="49"/>
      <c r="M80" s="49"/>
    </row>
    <row r="81" spans="1:13">
      <c r="B81" s="28" t="s">
        <v>152</v>
      </c>
      <c r="C81" s="96">
        <v>71872.602043137944</v>
      </c>
      <c r="D81" s="92">
        <v>57490.904024101721</v>
      </c>
      <c r="E81" s="96">
        <f t="shared" si="11"/>
        <v>14381.698019036223</v>
      </c>
      <c r="F81" s="96">
        <v>0</v>
      </c>
      <c r="G81" s="96">
        <f t="shared" si="9"/>
        <v>14381.698019036223</v>
      </c>
      <c r="H81" s="96">
        <v>0</v>
      </c>
      <c r="I81" s="96">
        <f t="shared" si="10"/>
        <v>14381.698019036223</v>
      </c>
      <c r="K81" s="49"/>
      <c r="L81" s="49"/>
      <c r="M81" s="49"/>
    </row>
    <row r="82" spans="1:13">
      <c r="B82" s="28" t="s">
        <v>153</v>
      </c>
      <c r="C82" s="96">
        <v>-119899.39503225812</v>
      </c>
      <c r="D82" s="92">
        <v>-95907.566086800041</v>
      </c>
      <c r="E82" s="96">
        <f t="shared" si="11"/>
        <v>-23991.828945458081</v>
      </c>
      <c r="F82" s="96">
        <v>0</v>
      </c>
      <c r="G82" s="96">
        <f t="shared" si="9"/>
        <v>-23991.828945458081</v>
      </c>
      <c r="H82" s="96">
        <v>0</v>
      </c>
      <c r="I82" s="96">
        <f t="shared" si="10"/>
        <v>-23991.828945458081</v>
      </c>
      <c r="K82" s="49"/>
      <c r="L82" s="49"/>
      <c r="M82" s="49"/>
    </row>
    <row r="83" spans="1:13">
      <c r="B83" s="28" t="s">
        <v>251</v>
      </c>
      <c r="C83" s="96">
        <v>-37282.421999999999</v>
      </c>
      <c r="D83" s="92">
        <v>-38870.203000000001</v>
      </c>
      <c r="E83" s="96">
        <f t="shared" si="11"/>
        <v>1587.7810000000027</v>
      </c>
      <c r="F83" s="96">
        <v>0</v>
      </c>
      <c r="G83" s="96">
        <f t="shared" si="9"/>
        <v>1587.7810000000027</v>
      </c>
      <c r="H83" s="96">
        <v>0</v>
      </c>
      <c r="I83" s="96">
        <f t="shared" si="10"/>
        <v>1587.7810000000027</v>
      </c>
      <c r="K83" s="49"/>
      <c r="L83" s="49"/>
      <c r="M83" s="49"/>
    </row>
    <row r="84" spans="1:13">
      <c r="B84" s="28" t="s">
        <v>252</v>
      </c>
      <c r="C84" s="96">
        <v>50442.58</v>
      </c>
      <c r="D84" s="92">
        <v>50442.58</v>
      </c>
      <c r="E84" s="96">
        <f t="shared" si="11"/>
        <v>0</v>
      </c>
      <c r="F84" s="96">
        <v>0</v>
      </c>
      <c r="G84" s="96">
        <f t="shared" si="9"/>
        <v>0</v>
      </c>
      <c r="H84" s="96">
        <v>0</v>
      </c>
      <c r="I84" s="96">
        <f t="shared" si="10"/>
        <v>0</v>
      </c>
      <c r="K84" s="49"/>
      <c r="L84" s="49"/>
      <c r="M84" s="49"/>
    </row>
    <row r="85" spans="1:13">
      <c r="B85" s="28" t="s">
        <v>154</v>
      </c>
      <c r="C85" s="96">
        <v>-306124.92000000004</v>
      </c>
      <c r="D85" s="92">
        <v>-235716.18850000005</v>
      </c>
      <c r="E85" s="96">
        <f t="shared" si="11"/>
        <v>-70408.731499999994</v>
      </c>
      <c r="F85" s="96">
        <v>0</v>
      </c>
      <c r="G85" s="96">
        <f t="shared" si="9"/>
        <v>-70408.731499999994</v>
      </c>
      <c r="H85" s="96">
        <v>0</v>
      </c>
      <c r="I85" s="96">
        <f t="shared" si="10"/>
        <v>-70408.731499999994</v>
      </c>
      <c r="K85" s="49"/>
      <c r="L85" s="49"/>
      <c r="M85" s="49"/>
    </row>
    <row r="86" spans="1:13" s="93" customFormat="1">
      <c r="B86" s="28" t="s">
        <v>199</v>
      </c>
      <c r="C86" s="96">
        <v>-75041.529300000053</v>
      </c>
      <c r="D86" s="92">
        <v>-75041.529300000053</v>
      </c>
      <c r="E86" s="96">
        <f t="shared" si="11"/>
        <v>0</v>
      </c>
      <c r="F86" s="96">
        <v>0</v>
      </c>
      <c r="G86" s="96">
        <f t="shared" si="9"/>
        <v>0</v>
      </c>
      <c r="H86" s="92">
        <v>0</v>
      </c>
      <c r="I86" s="96">
        <f t="shared" si="10"/>
        <v>0</v>
      </c>
    </row>
    <row r="87" spans="1:13">
      <c r="B87" s="28" t="s">
        <v>155</v>
      </c>
      <c r="C87" s="96">
        <v>37618.879999999997</v>
      </c>
      <c r="D87" s="92">
        <v>28966.537499999999</v>
      </c>
      <c r="E87" s="96">
        <f t="shared" si="11"/>
        <v>8652.3424999999988</v>
      </c>
      <c r="F87" s="96">
        <v>0</v>
      </c>
      <c r="G87" s="96">
        <f t="shared" si="9"/>
        <v>8652.3424999999988</v>
      </c>
      <c r="H87" s="96">
        <v>0</v>
      </c>
      <c r="I87" s="96">
        <f t="shared" si="10"/>
        <v>8652.3424999999988</v>
      </c>
      <c r="K87" s="49"/>
      <c r="L87" s="49"/>
      <c r="M87" s="49"/>
    </row>
    <row r="88" spans="1:13">
      <c r="B88" s="28" t="s">
        <v>156</v>
      </c>
      <c r="C88" s="96">
        <v>-241368.63005696388</v>
      </c>
      <c r="D88" s="92">
        <v>0</v>
      </c>
      <c r="E88" s="96">
        <f t="shared" si="11"/>
        <v>-241368.63005696388</v>
      </c>
      <c r="F88" s="96">
        <v>0</v>
      </c>
      <c r="G88" s="96">
        <f t="shared" si="9"/>
        <v>-241368.63005696388</v>
      </c>
      <c r="H88" s="92">
        <v>0</v>
      </c>
      <c r="I88" s="96">
        <f t="shared" si="10"/>
        <v>-241368.63005696388</v>
      </c>
    </row>
    <row r="89" spans="1:13">
      <c r="B89" s="28" t="s">
        <v>157</v>
      </c>
      <c r="C89" s="96">
        <v>-9224.1769999999997</v>
      </c>
      <c r="D89" s="92">
        <v>-9224.1769999999997</v>
      </c>
      <c r="E89" s="96">
        <f t="shared" si="11"/>
        <v>0</v>
      </c>
      <c r="F89" s="96">
        <v>0</v>
      </c>
      <c r="G89" s="96">
        <f t="shared" si="9"/>
        <v>0</v>
      </c>
      <c r="H89" s="92">
        <v>0</v>
      </c>
      <c r="I89" s="96">
        <f t="shared" si="10"/>
        <v>0</v>
      </c>
    </row>
    <row r="90" spans="1:13">
      <c r="B90" s="28" t="s">
        <v>195</v>
      </c>
      <c r="C90" s="96">
        <v>44000.524600000004</v>
      </c>
      <c r="D90" s="92">
        <v>44000.524600000004</v>
      </c>
      <c r="E90" s="96">
        <f t="shared" si="11"/>
        <v>0</v>
      </c>
      <c r="F90" s="96">
        <v>0</v>
      </c>
      <c r="G90" s="96">
        <f t="shared" si="9"/>
        <v>0</v>
      </c>
      <c r="H90" s="92">
        <v>0</v>
      </c>
      <c r="I90" s="96">
        <f t="shared" si="10"/>
        <v>0</v>
      </c>
    </row>
    <row r="91" spans="1:13">
      <c r="B91" s="28" t="s">
        <v>46</v>
      </c>
      <c r="C91" s="96">
        <v>-16400.256419653349</v>
      </c>
      <c r="D91" s="92">
        <v>-14141.458594438749</v>
      </c>
      <c r="E91" s="96">
        <f t="shared" si="11"/>
        <v>-2258.7978252146004</v>
      </c>
      <c r="F91" s="96">
        <v>0</v>
      </c>
      <c r="G91" s="96">
        <f t="shared" si="9"/>
        <v>-2258.7978252146004</v>
      </c>
      <c r="H91" s="92">
        <v>0</v>
      </c>
      <c r="I91" s="96">
        <f t="shared" si="10"/>
        <v>-2258.7978252146004</v>
      </c>
    </row>
    <row r="92" spans="1:13">
      <c r="B92" s="28" t="s">
        <v>124</v>
      </c>
      <c r="C92" s="96">
        <v>-47380.42500000001</v>
      </c>
      <c r="D92" s="92">
        <v>-47380.42500000001</v>
      </c>
      <c r="E92" s="96">
        <f t="shared" si="11"/>
        <v>0</v>
      </c>
      <c r="F92" s="96">
        <v>0</v>
      </c>
      <c r="G92" s="96">
        <f t="shared" si="9"/>
        <v>0</v>
      </c>
      <c r="H92" s="92">
        <v>0</v>
      </c>
      <c r="I92" s="96">
        <f t="shared" si="10"/>
        <v>0</v>
      </c>
    </row>
    <row r="93" spans="1:13">
      <c r="B93" s="28" t="s">
        <v>169</v>
      </c>
      <c r="C93" s="96">
        <v>19444756.8749272</v>
      </c>
      <c r="D93" s="92">
        <v>15738019.790163111</v>
      </c>
      <c r="E93" s="96">
        <f t="shared" si="11"/>
        <v>3706737.0847640894</v>
      </c>
      <c r="F93" s="96">
        <v>0</v>
      </c>
      <c r="G93" s="92">
        <f t="shared" si="9"/>
        <v>3706737.0847640894</v>
      </c>
      <c r="H93" s="92">
        <v>0</v>
      </c>
      <c r="I93" s="96">
        <f t="shared" si="10"/>
        <v>3706737.0847640894</v>
      </c>
    </row>
    <row r="94" spans="1:13">
      <c r="B94" s="28" t="s">
        <v>205</v>
      </c>
      <c r="C94" s="96">
        <v>505816.60324999999</v>
      </c>
      <c r="D94" s="92">
        <v>410377.28628740757</v>
      </c>
      <c r="E94" s="96">
        <f t="shared" si="11"/>
        <v>95439.31696259242</v>
      </c>
      <c r="F94" s="96">
        <v>0</v>
      </c>
      <c r="G94" s="92">
        <f t="shared" si="9"/>
        <v>95439.31696259242</v>
      </c>
      <c r="H94" s="92">
        <v>0</v>
      </c>
      <c r="I94" s="96">
        <f t="shared" si="10"/>
        <v>95439.31696259242</v>
      </c>
    </row>
    <row r="95" spans="1:13">
      <c r="B95" s="28" t="s">
        <v>167</v>
      </c>
      <c r="C95" s="97">
        <v>1320661.2712500002</v>
      </c>
      <c r="D95" s="97">
        <v>1081070.1777554932</v>
      </c>
      <c r="E95" s="97">
        <f t="shared" si="11"/>
        <v>239591.09349450702</v>
      </c>
      <c r="F95" s="97">
        <v>0</v>
      </c>
      <c r="G95" s="97">
        <f t="shared" si="9"/>
        <v>239591.09349450702</v>
      </c>
      <c r="H95" s="97">
        <v>0</v>
      </c>
      <c r="I95" s="97">
        <f t="shared" si="10"/>
        <v>239591.09349450702</v>
      </c>
    </row>
    <row r="96" spans="1:13">
      <c r="A96" s="93" t="s">
        <v>76</v>
      </c>
      <c r="C96" s="96">
        <f t="shared" ref="C96:I96" si="12">SUM(C62:C95)</f>
        <v>7902535.7881729966</v>
      </c>
      <c r="D96" s="96">
        <f t="shared" si="12"/>
        <v>6345986.8642245065</v>
      </c>
      <c r="E96" s="96">
        <f t="shared" si="12"/>
        <v>1556548.9239484849</v>
      </c>
      <c r="F96" s="96">
        <f t="shared" si="12"/>
        <v>0</v>
      </c>
      <c r="G96" s="96">
        <f t="shared" si="12"/>
        <v>1556548.9239484849</v>
      </c>
      <c r="H96" s="96">
        <f t="shared" si="12"/>
        <v>0</v>
      </c>
      <c r="I96" s="96">
        <f t="shared" si="12"/>
        <v>1556548.9239484849</v>
      </c>
    </row>
    <row r="97" spans="1:11">
      <c r="A97" s="93" t="s">
        <v>73</v>
      </c>
      <c r="C97" s="96"/>
      <c r="D97" s="96"/>
      <c r="E97" s="96"/>
      <c r="F97" s="96"/>
      <c r="G97" s="96"/>
      <c r="H97" s="96"/>
      <c r="I97" s="96"/>
    </row>
    <row r="98" spans="1:11">
      <c r="B98" s="95" t="s">
        <v>127</v>
      </c>
      <c r="C98" s="96">
        <v>64753.52</v>
      </c>
      <c r="D98" s="96">
        <v>-250788.9</v>
      </c>
      <c r="E98" s="96">
        <f t="shared" ref="E98:E102" si="13">+C98-D98</f>
        <v>315542.42</v>
      </c>
      <c r="F98" s="96">
        <v>0</v>
      </c>
      <c r="G98" s="96">
        <f t="shared" ref="G98:G102" si="14">+E98-F98</f>
        <v>315542.42</v>
      </c>
      <c r="H98" s="96">
        <v>0</v>
      </c>
      <c r="I98" s="96">
        <f t="shared" ref="I98:I102" si="15">+G98-H98</f>
        <v>315542.42</v>
      </c>
    </row>
    <row r="99" spans="1:11">
      <c r="B99" s="95" t="s">
        <v>253</v>
      </c>
      <c r="C99" s="96">
        <v>-978294</v>
      </c>
      <c r="D99" s="96">
        <v>-823759</v>
      </c>
      <c r="E99" s="96">
        <f t="shared" si="13"/>
        <v>-154535</v>
      </c>
      <c r="F99" s="96">
        <v>0</v>
      </c>
      <c r="G99" s="96">
        <f t="shared" si="14"/>
        <v>-154535</v>
      </c>
      <c r="H99" s="96">
        <v>0</v>
      </c>
      <c r="I99" s="96">
        <f t="shared" si="15"/>
        <v>-154535</v>
      </c>
      <c r="J99" s="96"/>
    </row>
    <row r="100" spans="1:11">
      <c r="B100" s="95" t="s">
        <v>204</v>
      </c>
      <c r="C100" s="96">
        <v>-105524</v>
      </c>
      <c r="D100" s="96">
        <v>-93604</v>
      </c>
      <c r="E100" s="96">
        <f t="shared" si="13"/>
        <v>-11920</v>
      </c>
      <c r="F100" s="96">
        <v>0</v>
      </c>
      <c r="G100" s="96">
        <f t="shared" si="14"/>
        <v>-11920</v>
      </c>
      <c r="H100" s="96">
        <v>0</v>
      </c>
      <c r="I100" s="96">
        <f t="shared" si="15"/>
        <v>-11920</v>
      </c>
    </row>
    <row r="101" spans="1:11">
      <c r="B101" s="87" t="s">
        <v>74</v>
      </c>
      <c r="C101" s="96">
        <v>22006</v>
      </c>
      <c r="D101" s="96">
        <v>22006</v>
      </c>
      <c r="E101" s="96">
        <f t="shared" si="13"/>
        <v>0</v>
      </c>
      <c r="F101" s="96">
        <v>0</v>
      </c>
      <c r="G101" s="96">
        <f t="shared" si="14"/>
        <v>0</v>
      </c>
      <c r="H101" s="96">
        <v>0</v>
      </c>
      <c r="I101" s="96">
        <f t="shared" si="15"/>
        <v>0</v>
      </c>
    </row>
    <row r="102" spans="1:11">
      <c r="B102" s="87" t="s">
        <v>14</v>
      </c>
      <c r="C102" s="92">
        <v>0</v>
      </c>
      <c r="D102" s="92">
        <v>0</v>
      </c>
      <c r="E102" s="92">
        <f t="shared" si="13"/>
        <v>0</v>
      </c>
      <c r="F102" s="92">
        <v>0</v>
      </c>
      <c r="G102" s="92">
        <f t="shared" si="14"/>
        <v>0</v>
      </c>
      <c r="H102" s="92">
        <v>0</v>
      </c>
      <c r="I102" s="96">
        <f t="shared" si="15"/>
        <v>0</v>
      </c>
    </row>
    <row r="103" spans="1:11" ht="13.5" thickBot="1">
      <c r="A103" s="93" t="s">
        <v>77</v>
      </c>
      <c r="B103" s="98"/>
      <c r="C103" s="100">
        <f t="shared" ref="C103:I103" si="16">SUM(C96:C102)</f>
        <v>6905477.3081729962</v>
      </c>
      <c r="D103" s="100">
        <f t="shared" si="16"/>
        <v>5199840.9642245062</v>
      </c>
      <c r="E103" s="100">
        <f t="shared" si="16"/>
        <v>1705636.3439484849</v>
      </c>
      <c r="F103" s="100">
        <f t="shared" si="16"/>
        <v>0</v>
      </c>
      <c r="G103" s="100">
        <f t="shared" si="16"/>
        <v>1705636.3439484849</v>
      </c>
      <c r="H103" s="100">
        <f t="shared" si="16"/>
        <v>0</v>
      </c>
      <c r="I103" s="100">
        <f t="shared" si="16"/>
        <v>1705636.3439484849</v>
      </c>
    </row>
    <row r="104" spans="1:11" ht="13.5" thickTop="1">
      <c r="B104" s="98"/>
      <c r="C104" s="58"/>
      <c r="D104" s="58"/>
      <c r="E104" s="58"/>
      <c r="F104" s="58"/>
      <c r="G104" s="58"/>
      <c r="H104" s="58"/>
      <c r="I104" s="58"/>
    </row>
    <row r="105" spans="1:11" ht="13.5" thickBot="1">
      <c r="A105" s="93" t="s">
        <v>128</v>
      </c>
      <c r="C105" s="118">
        <f t="shared" ref="C105:I105" si="17">SUM(C103,C59,C14)</f>
        <v>2937017.2693245756</v>
      </c>
      <c r="D105" s="118">
        <f t="shared" si="17"/>
        <v>-704312.6027943138</v>
      </c>
      <c r="E105" s="118">
        <f t="shared" si="17"/>
        <v>3641329.872118881</v>
      </c>
      <c r="F105" s="118">
        <f t="shared" si="17"/>
        <v>0</v>
      </c>
      <c r="G105" s="118">
        <f t="shared" si="17"/>
        <v>3641329.872118881</v>
      </c>
      <c r="H105" s="118">
        <f t="shared" si="17"/>
        <v>0</v>
      </c>
      <c r="I105" s="118">
        <f t="shared" si="17"/>
        <v>3641329.872118881</v>
      </c>
    </row>
    <row r="106" spans="1:11" ht="13.5" thickTop="1">
      <c r="D106" s="109"/>
      <c r="E106" s="109"/>
      <c r="G106" s="109"/>
      <c r="H106" s="109"/>
    </row>
    <row r="109" spans="1:11">
      <c r="B109" s="98"/>
      <c r="E109" s="93"/>
      <c r="G109" s="47">
        <f>'Current Tax B'!G71</f>
        <v>9238257.933064606</v>
      </c>
      <c r="H109" s="47"/>
      <c r="I109" s="47">
        <f>'Current Tax B'!I71</f>
        <v>7141068.7222111374</v>
      </c>
      <c r="J109" s="48" t="s">
        <v>78</v>
      </c>
      <c r="K109" s="48"/>
    </row>
    <row r="110" spans="1:11">
      <c r="B110" s="98"/>
      <c r="G110" s="47">
        <f>G109+G14+G59</f>
        <v>11173951.461235002</v>
      </c>
      <c r="H110" s="47"/>
      <c r="I110" s="47">
        <f>I109+I14+I59</f>
        <v>9076762.2503815331</v>
      </c>
      <c r="J110" s="48" t="s">
        <v>79</v>
      </c>
      <c r="K110" s="48"/>
    </row>
    <row r="111" spans="1:11">
      <c r="B111" s="98"/>
      <c r="G111" s="47">
        <f>11176170-2218</f>
        <v>11173952</v>
      </c>
      <c r="H111" s="47"/>
      <c r="I111" s="47">
        <f>9078980.78914653-2218</f>
        <v>9076762.7891465295</v>
      </c>
      <c r="J111" s="48" t="s">
        <v>175</v>
      </c>
      <c r="K111" s="48"/>
    </row>
    <row r="112" spans="1:11">
      <c r="G112" s="47">
        <f>G110-G111</f>
        <v>-0.53876499831676483</v>
      </c>
      <c r="H112" s="47"/>
      <c r="I112" s="47">
        <f>I110-I111</f>
        <v>-0.53876499645411968</v>
      </c>
      <c r="J112" s="48" t="s">
        <v>80</v>
      </c>
      <c r="K112" s="48"/>
    </row>
    <row r="113" spans="2:11">
      <c r="B113" s="119"/>
      <c r="G113" s="47"/>
      <c r="H113" s="47"/>
      <c r="I113" s="47"/>
      <c r="J113" s="48"/>
      <c r="K113" s="48"/>
    </row>
    <row r="114" spans="2:11">
      <c r="B114" s="120"/>
      <c r="G114" s="47">
        <f>'Current Tax B'!G94</f>
        <v>1096409.7525515151</v>
      </c>
      <c r="H114" s="47"/>
      <c r="I114" s="47">
        <f>'Current Tax B'!I94</f>
        <v>570798.42151054542</v>
      </c>
      <c r="J114" s="48" t="s">
        <v>81</v>
      </c>
      <c r="K114" s="48"/>
    </row>
    <row r="115" spans="2:11">
      <c r="G115" s="47">
        <f>G114+G103</f>
        <v>2802046.0965</v>
      </c>
      <c r="H115" s="47"/>
      <c r="I115" s="47">
        <f>I114+I103</f>
        <v>2276434.7654590304</v>
      </c>
      <c r="J115" s="48" t="s">
        <v>82</v>
      </c>
      <c r="K115" s="48"/>
    </row>
    <row r="116" spans="2:11">
      <c r="B116" s="103"/>
      <c r="G116" s="47">
        <v>2802046</v>
      </c>
      <c r="H116" s="47"/>
      <c r="I116" s="47">
        <v>2276434.66895903</v>
      </c>
      <c r="J116" s="48" t="s">
        <v>175</v>
      </c>
      <c r="K116" s="48"/>
    </row>
    <row r="117" spans="2:11">
      <c r="G117" s="47">
        <f>G115-G116</f>
        <v>9.6499999985098839E-2</v>
      </c>
      <c r="H117" s="47"/>
      <c r="I117" s="47">
        <f>I115-I116</f>
        <v>9.6500000450760126E-2</v>
      </c>
      <c r="J117" s="48" t="s">
        <v>80</v>
      </c>
      <c r="K117" s="48"/>
    </row>
    <row r="118" spans="2:11">
      <c r="G118" s="47"/>
      <c r="H118" s="47"/>
      <c r="I118" s="47"/>
      <c r="J118" s="48"/>
      <c r="K118" s="48"/>
    </row>
    <row r="119" spans="2:11">
      <c r="G119" s="47">
        <f>G110+G115</f>
        <v>13975997.557735002</v>
      </c>
      <c r="H119" s="47"/>
      <c r="I119" s="47">
        <f>I110+I115</f>
        <v>11353197.015840564</v>
      </c>
      <c r="J119" s="48" t="s">
        <v>83</v>
      </c>
      <c r="K119" s="48"/>
    </row>
    <row r="120" spans="2:11">
      <c r="G120" s="47">
        <f>G111+G116</f>
        <v>13975998</v>
      </c>
      <c r="H120" s="47"/>
      <c r="I120" s="47">
        <f>I111+I116</f>
        <v>11353197.45810556</v>
      </c>
      <c r="J120" s="48" t="s">
        <v>175</v>
      </c>
      <c r="K120" s="48"/>
    </row>
    <row r="121" spans="2:11">
      <c r="G121" s="47">
        <f>G119-G120</f>
        <v>-0.44226499833166599</v>
      </c>
      <c r="H121" s="47"/>
      <c r="I121" s="47">
        <f>I119-I120</f>
        <v>-0.44226499646902084</v>
      </c>
      <c r="J121" s="48" t="s">
        <v>80</v>
      </c>
      <c r="K121" s="48"/>
    </row>
    <row r="122" spans="2:11">
      <c r="J122" s="48"/>
      <c r="K122" s="48"/>
    </row>
    <row r="123" spans="2:11">
      <c r="J123" s="48"/>
      <c r="K123" s="48"/>
    </row>
    <row r="124" spans="2:11">
      <c r="C124" s="92">
        <v>-3087685.0688484013</v>
      </c>
      <c r="D124" s="92">
        <v>-5025596.5970187783</v>
      </c>
      <c r="E124" s="92">
        <v>1937911.5281704075</v>
      </c>
      <c r="F124" s="92">
        <v>0</v>
      </c>
      <c r="G124" s="92">
        <v>1937911.5281704075</v>
      </c>
      <c r="H124" s="92">
        <v>0</v>
      </c>
      <c r="I124" s="92">
        <v>1937911.5281704075</v>
      </c>
      <c r="J124" s="48"/>
      <c r="K124" s="48"/>
    </row>
    <row r="125" spans="2:11">
      <c r="C125" s="92">
        <v>6905477.3081729962</v>
      </c>
      <c r="D125" s="92">
        <v>5199840.9642245062</v>
      </c>
      <c r="E125" s="92">
        <v>1705636.3439484844</v>
      </c>
      <c r="F125" s="92">
        <v>0</v>
      </c>
      <c r="G125" s="92">
        <v>1705636.3439484844</v>
      </c>
      <c r="H125" s="92">
        <v>0</v>
      </c>
      <c r="I125" s="92">
        <v>1705636.3439484844</v>
      </c>
      <c r="J125" s="48"/>
      <c r="K125" s="48"/>
    </row>
    <row r="126" spans="2:11">
      <c r="C126" s="92">
        <v>2937017.2393245948</v>
      </c>
      <c r="D126" s="92">
        <v>-704312.63279427215</v>
      </c>
      <c r="E126" s="92">
        <v>3641329.8721188921</v>
      </c>
      <c r="F126" s="92">
        <v>0</v>
      </c>
      <c r="G126" s="92">
        <v>3641329.8721188921</v>
      </c>
      <c r="H126" s="92">
        <v>0</v>
      </c>
      <c r="I126" s="92">
        <v>3641329.8721188921</v>
      </c>
      <c r="J126" s="48"/>
      <c r="K126" s="48"/>
    </row>
    <row r="127" spans="2:11">
      <c r="C127" s="92">
        <f t="shared" ref="C127:I127" si="18">+C59-C124</f>
        <v>2.9999980702996254E-2</v>
      </c>
      <c r="D127" s="92">
        <f t="shared" si="18"/>
        <v>2.9999958351254463E-2</v>
      </c>
      <c r="E127" s="92">
        <f t="shared" si="18"/>
        <v>-1.1175870895385742E-8</v>
      </c>
      <c r="F127" s="92">
        <f t="shared" si="18"/>
        <v>0</v>
      </c>
      <c r="G127" s="92">
        <f t="shared" si="18"/>
        <v>-1.1175870895385742E-8</v>
      </c>
      <c r="H127" s="92">
        <f t="shared" si="18"/>
        <v>0</v>
      </c>
      <c r="I127" s="92">
        <f t="shared" si="18"/>
        <v>-1.1175870895385742E-8</v>
      </c>
      <c r="J127" s="48"/>
      <c r="K127" s="48"/>
    </row>
    <row r="128" spans="2:11">
      <c r="C128" s="92">
        <f>+C103-C125</f>
        <v>0</v>
      </c>
      <c r="D128" s="92">
        <f t="shared" ref="D128:I128" si="19">+D103-D125</f>
        <v>0</v>
      </c>
      <c r="E128" s="92">
        <f t="shared" si="19"/>
        <v>0</v>
      </c>
      <c r="F128" s="92">
        <f t="shared" si="19"/>
        <v>0</v>
      </c>
      <c r="G128" s="92">
        <f t="shared" si="19"/>
        <v>0</v>
      </c>
      <c r="H128" s="92">
        <f t="shared" si="19"/>
        <v>0</v>
      </c>
      <c r="I128" s="92">
        <f t="shared" si="19"/>
        <v>0</v>
      </c>
      <c r="J128" s="48"/>
      <c r="K128" s="48"/>
    </row>
    <row r="129" spans="3:9">
      <c r="C129" s="92">
        <f>+C105-C126</f>
        <v>2.9999980702996254E-2</v>
      </c>
      <c r="D129" s="92">
        <f t="shared" ref="D129:I129" si="20">+D105-D126</f>
        <v>2.9999958351254463E-2</v>
      </c>
      <c r="E129" s="92">
        <f t="shared" si="20"/>
        <v>-1.1175870895385742E-8</v>
      </c>
      <c r="F129" s="92">
        <f t="shared" si="20"/>
        <v>0</v>
      </c>
      <c r="G129" s="92">
        <f t="shared" si="20"/>
        <v>-1.1175870895385742E-8</v>
      </c>
      <c r="H129" s="92">
        <f t="shared" si="20"/>
        <v>0</v>
      </c>
      <c r="I129" s="92">
        <f t="shared" si="20"/>
        <v>-1.1175870895385742E-8</v>
      </c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8462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C10" sqref="C10"/>
    </sheetView>
  </sheetViews>
  <sheetFormatPr defaultColWidth="0.7109375" defaultRowHeight="12.75"/>
  <cols>
    <col min="1" max="1" width="1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50" t="s">
        <v>118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32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191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193</v>
      </c>
      <c r="B4" s="150"/>
      <c r="C4" s="150"/>
      <c r="D4" s="150"/>
      <c r="E4" s="150"/>
      <c r="F4" s="150"/>
      <c r="G4" s="150"/>
      <c r="H4" s="150"/>
      <c r="I4" s="150"/>
    </row>
    <row r="5" spans="1:9">
      <c r="B5" s="85"/>
      <c r="C5" s="111" t="s">
        <v>0</v>
      </c>
      <c r="D5" s="112"/>
      <c r="E5" s="111"/>
      <c r="F5" s="111"/>
      <c r="G5" s="111" t="s">
        <v>0</v>
      </c>
      <c r="H5" s="112"/>
      <c r="I5" s="111"/>
    </row>
    <row r="6" spans="1:9">
      <c r="B6" s="29"/>
      <c r="C6" s="111"/>
      <c r="D6" s="112"/>
      <c r="E6" s="111"/>
      <c r="F6" s="111"/>
      <c r="G6" s="111"/>
      <c r="H6" s="112"/>
      <c r="I6" s="111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119</v>
      </c>
      <c r="E8" s="29" t="s">
        <v>120</v>
      </c>
      <c r="F8" s="29" t="s">
        <v>123</v>
      </c>
      <c r="G8" s="29" t="s">
        <v>123</v>
      </c>
      <c r="H8" s="29" t="s">
        <v>122</v>
      </c>
      <c r="I8" s="29" t="s">
        <v>173</v>
      </c>
    </row>
    <row r="9" spans="1:9">
      <c r="A9" s="30"/>
      <c r="C9" s="86" t="s">
        <v>33</v>
      </c>
      <c r="D9" s="86" t="s">
        <v>121</v>
      </c>
      <c r="E9" s="86" t="s">
        <v>123</v>
      </c>
      <c r="F9" s="86" t="s">
        <v>34</v>
      </c>
      <c r="G9" s="86" t="s">
        <v>35</v>
      </c>
      <c r="H9" s="86" t="s">
        <v>36</v>
      </c>
      <c r="I9" s="86" t="s">
        <v>35</v>
      </c>
    </row>
    <row r="10" spans="1:9">
      <c r="A10" s="30"/>
      <c r="B10" s="28" t="s">
        <v>8</v>
      </c>
      <c r="C10" s="28">
        <v>240032423.47751898</v>
      </c>
      <c r="D10" s="36">
        <v>173600271.3949495</v>
      </c>
      <c r="E10" s="28">
        <f>C10-D10</f>
        <v>66432152.08256948</v>
      </c>
      <c r="F10" s="28">
        <v>-556830.86698310007</v>
      </c>
      <c r="G10" s="28">
        <f>+E10-F10</f>
        <v>66988982.949552581</v>
      </c>
      <c r="H10" s="28">
        <v>4407878.0189080704</v>
      </c>
      <c r="I10" s="28">
        <f>+G10-H10</f>
        <v>62581104.930644512</v>
      </c>
    </row>
    <row r="11" spans="1:9">
      <c r="A11" s="30"/>
      <c r="B11" s="28" t="s">
        <v>9</v>
      </c>
      <c r="C11" s="39">
        <v>-92587775</v>
      </c>
      <c r="D11" s="39">
        <v>-74996098</v>
      </c>
      <c r="E11" s="39">
        <f>C11-D11</f>
        <v>-17591677</v>
      </c>
      <c r="F11" s="39">
        <v>0</v>
      </c>
      <c r="G11" s="39">
        <f>+E11-F11</f>
        <v>-17591677</v>
      </c>
      <c r="H11" s="39">
        <v>2014479.66465725</v>
      </c>
      <c r="I11" s="39">
        <f>+G11-H11</f>
        <v>-19606156.66465725</v>
      </c>
    </row>
    <row r="12" spans="1:9">
      <c r="A12" s="30"/>
      <c r="B12" s="28" t="s">
        <v>37</v>
      </c>
      <c r="C12" s="33">
        <f t="shared" ref="C12:I12" si="0">SUM(C10:C11)</f>
        <v>147444648.47751898</v>
      </c>
      <c r="D12" s="33">
        <f t="shared" si="0"/>
        <v>98604173.394949496</v>
      </c>
      <c r="E12" s="33">
        <f t="shared" si="0"/>
        <v>48840475.08256948</v>
      </c>
      <c r="F12" s="33">
        <f t="shared" si="0"/>
        <v>-556830.86698310007</v>
      </c>
      <c r="G12" s="33">
        <f t="shared" si="0"/>
        <v>49397305.949552581</v>
      </c>
      <c r="H12" s="33">
        <f t="shared" si="0"/>
        <v>6422357.6835653204</v>
      </c>
      <c r="I12" s="33">
        <f t="shared" si="0"/>
        <v>42974948.265987262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751275</v>
      </c>
      <c r="D15" s="28">
        <v>601020</v>
      </c>
      <c r="E15" s="28">
        <f t="shared" ref="E15:E19" si="1">C15-D15</f>
        <v>150255</v>
      </c>
      <c r="F15" s="28">
        <v>150255</v>
      </c>
      <c r="G15" s="28">
        <f t="shared" ref="G15:G19" si="2">+E15-F15</f>
        <v>0</v>
      </c>
      <c r="H15" s="28">
        <v>0</v>
      </c>
      <c r="I15" s="28">
        <f t="shared" ref="I15:I19" si="3">+G15-H15</f>
        <v>0</v>
      </c>
    </row>
    <row r="16" spans="1:9">
      <c r="A16" s="37"/>
      <c r="B16" s="28" t="s">
        <v>200</v>
      </c>
      <c r="C16" s="28">
        <v>159996</v>
      </c>
      <c r="D16" s="28">
        <v>127996.8</v>
      </c>
      <c r="E16" s="28">
        <f t="shared" si="1"/>
        <v>31999.199999999997</v>
      </c>
      <c r="F16" s="28">
        <v>31999.199999999997</v>
      </c>
      <c r="G16" s="28">
        <f t="shared" si="2"/>
        <v>0</v>
      </c>
      <c r="H16" s="28">
        <v>0</v>
      </c>
      <c r="I16" s="28">
        <f t="shared" si="3"/>
        <v>0</v>
      </c>
    </row>
    <row r="17" spans="1:9">
      <c r="A17" s="37"/>
      <c r="B17" s="28" t="s">
        <v>206</v>
      </c>
      <c r="C17" s="28">
        <v>-444390.66038565338</v>
      </c>
      <c r="D17" s="28">
        <v>-319647.42205877748</v>
      </c>
      <c r="E17" s="28">
        <f t="shared" si="1"/>
        <v>-124743.2383268759</v>
      </c>
      <c r="F17" s="28">
        <v>-124743.2383268759</v>
      </c>
      <c r="G17" s="28">
        <f t="shared" si="2"/>
        <v>0</v>
      </c>
      <c r="H17" s="28">
        <v>0</v>
      </c>
      <c r="I17" s="28">
        <f t="shared" si="3"/>
        <v>0</v>
      </c>
    </row>
    <row r="18" spans="1:9">
      <c r="A18" s="37"/>
      <c r="B18" s="28" t="s">
        <v>40</v>
      </c>
      <c r="C18" s="28">
        <v>900000</v>
      </c>
      <c r="D18" s="28">
        <v>729000</v>
      </c>
      <c r="E18" s="28">
        <f t="shared" si="1"/>
        <v>171000</v>
      </c>
      <c r="F18" s="28">
        <v>0</v>
      </c>
      <c r="G18" s="28">
        <f t="shared" si="2"/>
        <v>171000</v>
      </c>
      <c r="H18" s="28">
        <v>0</v>
      </c>
      <c r="I18" s="28">
        <f t="shared" si="3"/>
        <v>171000</v>
      </c>
    </row>
    <row r="19" spans="1:9">
      <c r="A19" s="37"/>
      <c r="B19" s="28" t="s">
        <v>160</v>
      </c>
      <c r="C19" s="39">
        <v>1100000</v>
      </c>
      <c r="D19" s="39">
        <v>880000</v>
      </c>
      <c r="E19" s="39">
        <f t="shared" si="1"/>
        <v>220000</v>
      </c>
      <c r="F19" s="39">
        <v>0</v>
      </c>
      <c r="G19" s="39">
        <f t="shared" si="2"/>
        <v>220000</v>
      </c>
      <c r="H19" s="39">
        <v>0</v>
      </c>
      <c r="I19" s="39">
        <f t="shared" si="3"/>
        <v>220000</v>
      </c>
    </row>
    <row r="20" spans="1:9">
      <c r="A20" s="29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41</v>
      </c>
      <c r="C21" s="39">
        <f t="shared" ref="C21:I21" si="4">SUM(C15:C19)</f>
        <v>2466880.3396143466</v>
      </c>
      <c r="D21" s="39">
        <f t="shared" si="4"/>
        <v>2018369.3779412226</v>
      </c>
      <c r="E21" s="39">
        <f t="shared" si="4"/>
        <v>448510.96167312411</v>
      </c>
      <c r="F21" s="39">
        <f t="shared" si="4"/>
        <v>57510.961673124111</v>
      </c>
      <c r="G21" s="39">
        <f t="shared" si="4"/>
        <v>391000</v>
      </c>
      <c r="H21" s="39">
        <f t="shared" si="4"/>
        <v>0</v>
      </c>
      <c r="I21" s="39">
        <f t="shared" si="4"/>
        <v>391000</v>
      </c>
    </row>
    <row r="22" spans="1:9">
      <c r="A22" s="29"/>
      <c r="B22" s="41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42</v>
      </c>
      <c r="C23" s="40"/>
      <c r="D23" s="40"/>
      <c r="E23" s="40"/>
      <c r="F23" s="40"/>
      <c r="G23" s="40"/>
      <c r="H23" s="40"/>
      <c r="I23" s="40"/>
    </row>
    <row r="24" spans="1:9">
      <c r="A24" s="29"/>
      <c r="B24" s="28" t="s">
        <v>142</v>
      </c>
      <c r="C24" s="87">
        <v>339523.99999999994</v>
      </c>
      <c r="D24" s="87">
        <v>339523.99999999994</v>
      </c>
      <c r="E24" s="36">
        <f t="shared" ref="E24:E61" si="5">C24-D24</f>
        <v>0</v>
      </c>
      <c r="F24" s="36">
        <v>0</v>
      </c>
      <c r="G24" s="87">
        <f t="shared" ref="G24:G61" si="6">+E24-F24</f>
        <v>0</v>
      </c>
      <c r="H24" s="87">
        <v>0</v>
      </c>
      <c r="I24" s="36">
        <f t="shared" ref="I24:I61" si="7">+G24-H24</f>
        <v>0</v>
      </c>
    </row>
    <row r="25" spans="1:9">
      <c r="A25" s="29"/>
      <c r="B25" s="28" t="s">
        <v>143</v>
      </c>
      <c r="C25" s="87">
        <v>632284.54499999993</v>
      </c>
      <c r="D25" s="87">
        <v>625599.7323551859</v>
      </c>
      <c r="E25" s="36">
        <f t="shared" si="5"/>
        <v>6684.8126448140247</v>
      </c>
      <c r="F25" s="36">
        <v>0</v>
      </c>
      <c r="G25" s="87">
        <f t="shared" si="6"/>
        <v>6684.8126448140247</v>
      </c>
      <c r="H25" s="87">
        <v>0</v>
      </c>
      <c r="I25" s="36">
        <f t="shared" si="7"/>
        <v>6684.8126448140247</v>
      </c>
    </row>
    <row r="26" spans="1:9">
      <c r="A26" s="29"/>
      <c r="B26" s="28" t="s">
        <v>144</v>
      </c>
      <c r="C26" s="87">
        <v>-77424.264999999985</v>
      </c>
      <c r="D26" s="87">
        <v>-77424.264999999985</v>
      </c>
      <c r="E26" s="36">
        <f t="shared" si="5"/>
        <v>0</v>
      </c>
      <c r="F26" s="36">
        <v>0</v>
      </c>
      <c r="G26" s="87">
        <f t="shared" si="6"/>
        <v>0</v>
      </c>
      <c r="H26" s="87">
        <v>0</v>
      </c>
      <c r="I26" s="36">
        <f t="shared" si="7"/>
        <v>0</v>
      </c>
    </row>
    <row r="27" spans="1:9">
      <c r="A27" s="29"/>
      <c r="B27" s="28" t="s">
        <v>161</v>
      </c>
      <c r="C27" s="87">
        <v>246304.79999999987</v>
      </c>
      <c r="D27" s="87">
        <v>246304.79999999987</v>
      </c>
      <c r="E27" s="36">
        <f t="shared" si="5"/>
        <v>0</v>
      </c>
      <c r="F27" s="36">
        <v>0</v>
      </c>
      <c r="G27" s="87">
        <f t="shared" si="6"/>
        <v>0</v>
      </c>
      <c r="H27" s="87">
        <v>0</v>
      </c>
      <c r="I27" s="36">
        <f t="shared" si="7"/>
        <v>0</v>
      </c>
    </row>
    <row r="28" spans="1:9">
      <c r="A28" s="29"/>
      <c r="B28" s="28" t="s">
        <v>207</v>
      </c>
      <c r="C28" s="87">
        <v>487803.00600000098</v>
      </c>
      <c r="D28" s="87">
        <v>487803.00600000098</v>
      </c>
      <c r="E28" s="36">
        <f t="shared" si="5"/>
        <v>0</v>
      </c>
      <c r="F28" s="36">
        <v>0</v>
      </c>
      <c r="G28" s="87">
        <f t="shared" si="6"/>
        <v>0</v>
      </c>
      <c r="H28" s="87">
        <v>0</v>
      </c>
      <c r="I28" s="36">
        <f t="shared" si="7"/>
        <v>0</v>
      </c>
    </row>
    <row r="29" spans="1:9">
      <c r="A29" s="29"/>
      <c r="B29" s="28" t="s">
        <v>198</v>
      </c>
      <c r="C29" s="87">
        <v>0</v>
      </c>
      <c r="D29" s="87">
        <v>0</v>
      </c>
      <c r="E29" s="36">
        <f t="shared" si="5"/>
        <v>0</v>
      </c>
      <c r="F29" s="36">
        <v>0</v>
      </c>
      <c r="G29" s="87">
        <f t="shared" si="6"/>
        <v>0</v>
      </c>
      <c r="H29" s="87">
        <v>0</v>
      </c>
      <c r="I29" s="36">
        <f t="shared" si="7"/>
        <v>0</v>
      </c>
    </row>
    <row r="30" spans="1:9">
      <c r="A30" s="29"/>
      <c r="B30" s="28" t="s">
        <v>218</v>
      </c>
      <c r="C30" s="87">
        <v>-153459.8606257386</v>
      </c>
      <c r="D30" s="87">
        <v>-110382.71775547031</v>
      </c>
      <c r="E30" s="36">
        <f t="shared" si="5"/>
        <v>-43077.14287026829</v>
      </c>
      <c r="F30" s="36">
        <v>0</v>
      </c>
      <c r="G30" s="87">
        <f t="shared" si="6"/>
        <v>-43077.14287026829</v>
      </c>
      <c r="H30" s="87">
        <v>-43077.142870268261</v>
      </c>
      <c r="I30" s="36">
        <f t="shared" si="7"/>
        <v>0</v>
      </c>
    </row>
    <row r="31" spans="1:9">
      <c r="A31" s="29"/>
      <c r="B31" s="28" t="s">
        <v>145</v>
      </c>
      <c r="C31" s="87">
        <v>1062674.794036706</v>
      </c>
      <c r="D31" s="87">
        <v>849927.3002705574</v>
      </c>
      <c r="E31" s="36">
        <f t="shared" si="5"/>
        <v>212747.49376614857</v>
      </c>
      <c r="F31" s="36">
        <v>0</v>
      </c>
      <c r="G31" s="87">
        <f t="shared" si="6"/>
        <v>212747.49376614857</v>
      </c>
      <c r="H31" s="87">
        <v>0</v>
      </c>
      <c r="I31" s="36">
        <f t="shared" si="7"/>
        <v>212747.49376614857</v>
      </c>
    </row>
    <row r="32" spans="1:9">
      <c r="A32" s="29"/>
      <c r="B32" s="28" t="s">
        <v>219</v>
      </c>
      <c r="C32" s="87">
        <v>-1314139.99999999</v>
      </c>
      <c r="D32" s="87">
        <v>-1072515.9999999909</v>
      </c>
      <c r="E32" s="36">
        <f t="shared" si="5"/>
        <v>-241623.99999999907</v>
      </c>
      <c r="F32" s="36">
        <v>0</v>
      </c>
      <c r="G32" s="87">
        <f t="shared" si="6"/>
        <v>-241623.99999999907</v>
      </c>
      <c r="H32" s="87">
        <v>-241624</v>
      </c>
      <c r="I32" s="36">
        <f t="shared" si="7"/>
        <v>9.3132257461547852E-10</v>
      </c>
    </row>
    <row r="33" spans="1:9">
      <c r="A33" s="29"/>
      <c r="B33" s="28" t="s">
        <v>146</v>
      </c>
      <c r="C33" s="87">
        <v>0</v>
      </c>
      <c r="D33" s="87">
        <v>0</v>
      </c>
      <c r="E33" s="36">
        <f t="shared" si="5"/>
        <v>0</v>
      </c>
      <c r="F33" s="36">
        <v>0</v>
      </c>
      <c r="G33" s="87">
        <f t="shared" si="6"/>
        <v>0</v>
      </c>
      <c r="H33" s="87">
        <v>0</v>
      </c>
      <c r="I33" s="36">
        <f t="shared" si="7"/>
        <v>0</v>
      </c>
    </row>
    <row r="34" spans="1:9">
      <c r="A34" s="29"/>
      <c r="B34" s="28" t="s">
        <v>162</v>
      </c>
      <c r="C34" s="87">
        <v>326745767.89627421</v>
      </c>
      <c r="D34" s="87">
        <v>278490649.74562484</v>
      </c>
      <c r="E34" s="36">
        <f t="shared" si="5"/>
        <v>48255118.150649369</v>
      </c>
      <c r="F34" s="36">
        <v>0</v>
      </c>
      <c r="G34" s="87">
        <f t="shared" si="6"/>
        <v>48255118.150649369</v>
      </c>
      <c r="H34" s="87">
        <v>0</v>
      </c>
      <c r="I34" s="36">
        <f t="shared" si="7"/>
        <v>48255118.150649369</v>
      </c>
    </row>
    <row r="35" spans="1:9">
      <c r="A35" s="29"/>
      <c r="B35" s="28" t="s">
        <v>246</v>
      </c>
      <c r="C35" s="87">
        <v>-14373527.678163523</v>
      </c>
      <c r="D35" s="87">
        <v>-14373527.678163523</v>
      </c>
      <c r="E35" s="36">
        <f t="shared" si="5"/>
        <v>0</v>
      </c>
      <c r="F35" s="36">
        <v>0</v>
      </c>
      <c r="G35" s="87">
        <f t="shared" si="6"/>
        <v>0</v>
      </c>
      <c r="H35" s="87">
        <v>0</v>
      </c>
      <c r="I35" s="36">
        <f t="shared" si="7"/>
        <v>0</v>
      </c>
    </row>
    <row r="36" spans="1:9">
      <c r="A36" s="29"/>
      <c r="B36" s="36" t="s">
        <v>147</v>
      </c>
      <c r="C36" s="87">
        <v>-4656335.3952306015</v>
      </c>
      <c r="D36" s="87">
        <v>-4656335.3952306015</v>
      </c>
      <c r="E36" s="36">
        <f t="shared" si="5"/>
        <v>0</v>
      </c>
      <c r="F36" s="36">
        <v>0</v>
      </c>
      <c r="G36" s="87">
        <f t="shared" si="6"/>
        <v>0</v>
      </c>
      <c r="H36" s="87">
        <v>0</v>
      </c>
      <c r="I36" s="36">
        <f t="shared" si="7"/>
        <v>0</v>
      </c>
    </row>
    <row r="37" spans="1:9">
      <c r="A37" s="29"/>
      <c r="B37" s="28" t="s">
        <v>148</v>
      </c>
      <c r="C37" s="87">
        <v>3133285.5</v>
      </c>
      <c r="D37" s="87">
        <v>2668132.865751246</v>
      </c>
      <c r="E37" s="36">
        <f t="shared" si="5"/>
        <v>465152.63424875401</v>
      </c>
      <c r="F37" s="36">
        <v>0</v>
      </c>
      <c r="G37" s="87">
        <f t="shared" si="6"/>
        <v>465152.63424875401</v>
      </c>
      <c r="H37" s="87">
        <v>0</v>
      </c>
      <c r="I37" s="36">
        <f t="shared" si="7"/>
        <v>465152.63424875401</v>
      </c>
    </row>
    <row r="38" spans="1:9">
      <c r="A38" s="29"/>
      <c r="B38" s="28" t="s">
        <v>194</v>
      </c>
      <c r="C38" s="87">
        <v>0</v>
      </c>
      <c r="D38" s="87">
        <v>0</v>
      </c>
      <c r="E38" s="36">
        <f t="shared" si="5"/>
        <v>0</v>
      </c>
      <c r="F38" s="36">
        <v>0</v>
      </c>
      <c r="G38" s="87">
        <f t="shared" si="6"/>
        <v>0</v>
      </c>
      <c r="H38" s="87">
        <v>0</v>
      </c>
      <c r="I38" s="36">
        <f t="shared" si="7"/>
        <v>0</v>
      </c>
    </row>
    <row r="39" spans="1:9">
      <c r="A39" s="29"/>
      <c r="B39" s="28" t="s">
        <v>43</v>
      </c>
      <c r="C39" s="87">
        <v>-20203502.710000001</v>
      </c>
      <c r="D39" s="87">
        <v>-17188928.965014376</v>
      </c>
      <c r="E39" s="36">
        <f t="shared" si="5"/>
        <v>-3014573.7449856251</v>
      </c>
      <c r="F39" s="36">
        <v>0</v>
      </c>
      <c r="G39" s="87">
        <f t="shared" si="6"/>
        <v>-3014573.7449856251</v>
      </c>
      <c r="H39" s="87">
        <v>0</v>
      </c>
      <c r="I39" s="36">
        <f t="shared" si="7"/>
        <v>-3014573.7449856251</v>
      </c>
    </row>
    <row r="40" spans="1:9">
      <c r="A40" s="29"/>
      <c r="B40" s="28" t="s">
        <v>197</v>
      </c>
      <c r="C40" s="87">
        <v>-2231587.58194008</v>
      </c>
      <c r="D40" s="87">
        <v>-1718322.638897798</v>
      </c>
      <c r="E40" s="36">
        <f t="shared" si="5"/>
        <v>-513264.94304228202</v>
      </c>
      <c r="F40" s="36">
        <v>0</v>
      </c>
      <c r="G40" s="87">
        <f t="shared" si="6"/>
        <v>-513264.94304228202</v>
      </c>
      <c r="H40" s="87">
        <v>0</v>
      </c>
      <c r="I40" s="36">
        <f t="shared" si="7"/>
        <v>-513264.94304228202</v>
      </c>
    </row>
    <row r="41" spans="1:9">
      <c r="A41" s="29"/>
      <c r="B41" s="28" t="s">
        <v>149</v>
      </c>
      <c r="C41" s="87">
        <v>1843827.4511898344</v>
      </c>
      <c r="D41" s="87">
        <v>1474693.1954616294</v>
      </c>
      <c r="E41" s="36">
        <f t="shared" si="5"/>
        <v>369134.25572820497</v>
      </c>
      <c r="F41" s="36">
        <v>0</v>
      </c>
      <c r="G41" s="87">
        <f t="shared" si="6"/>
        <v>369134.25572820497</v>
      </c>
      <c r="H41" s="87">
        <v>0</v>
      </c>
      <c r="I41" s="36">
        <f t="shared" si="7"/>
        <v>369134.25572820497</v>
      </c>
    </row>
    <row r="42" spans="1:9">
      <c r="A42" s="29"/>
      <c r="B42" s="28" t="s">
        <v>163</v>
      </c>
      <c r="C42" s="87">
        <v>0</v>
      </c>
      <c r="D42" s="87">
        <v>0</v>
      </c>
      <c r="E42" s="36">
        <f t="shared" si="5"/>
        <v>0</v>
      </c>
      <c r="F42" s="36">
        <v>0</v>
      </c>
      <c r="G42" s="87">
        <f t="shared" si="6"/>
        <v>0</v>
      </c>
      <c r="H42" s="87">
        <v>0</v>
      </c>
      <c r="I42" s="36">
        <f t="shared" si="7"/>
        <v>0</v>
      </c>
    </row>
    <row r="43" spans="1:9">
      <c r="A43" s="29"/>
      <c r="B43" s="28" t="s">
        <v>164</v>
      </c>
      <c r="C43" s="87">
        <v>0</v>
      </c>
      <c r="D43" s="87">
        <v>0</v>
      </c>
      <c r="E43" s="36">
        <f t="shared" si="5"/>
        <v>0</v>
      </c>
      <c r="F43" s="36">
        <v>0</v>
      </c>
      <c r="G43" s="87">
        <f t="shared" si="6"/>
        <v>0</v>
      </c>
      <c r="H43" s="87">
        <v>0</v>
      </c>
      <c r="I43" s="36">
        <f t="shared" si="7"/>
        <v>0</v>
      </c>
    </row>
    <row r="44" spans="1:9">
      <c r="A44" s="29"/>
      <c r="B44" s="28" t="s">
        <v>165</v>
      </c>
      <c r="C44" s="87">
        <v>0</v>
      </c>
      <c r="D44" s="87">
        <v>0</v>
      </c>
      <c r="E44" s="36">
        <f t="shared" si="5"/>
        <v>0</v>
      </c>
      <c r="F44" s="36">
        <v>0</v>
      </c>
      <c r="G44" s="87">
        <f t="shared" si="6"/>
        <v>0</v>
      </c>
      <c r="H44" s="87">
        <v>0</v>
      </c>
      <c r="I44" s="36">
        <f t="shared" si="7"/>
        <v>0</v>
      </c>
    </row>
    <row r="45" spans="1:9">
      <c r="A45" s="29"/>
      <c r="B45" s="28" t="s">
        <v>150</v>
      </c>
      <c r="C45" s="87">
        <v>-515980.42823587568</v>
      </c>
      <c r="D45" s="87">
        <v>-412681.14650305337</v>
      </c>
      <c r="E45" s="36">
        <f t="shared" si="5"/>
        <v>-103299.2817328223</v>
      </c>
      <c r="F45" s="36">
        <v>0</v>
      </c>
      <c r="G45" s="87">
        <f t="shared" si="6"/>
        <v>-103299.2817328223</v>
      </c>
      <c r="H45" s="87">
        <v>0</v>
      </c>
      <c r="I45" s="36">
        <f t="shared" si="7"/>
        <v>-103299.2817328223</v>
      </c>
    </row>
    <row r="46" spans="1:9">
      <c r="A46" s="29"/>
      <c r="B46" s="28" t="s">
        <v>151</v>
      </c>
      <c r="C46" s="87">
        <v>7784243.6850038581</v>
      </c>
      <c r="D46" s="87">
        <v>6627474.0525384955</v>
      </c>
      <c r="E46" s="36">
        <f t="shared" si="5"/>
        <v>1156769.6324653625</v>
      </c>
      <c r="F46" s="36">
        <v>0</v>
      </c>
      <c r="G46" s="87">
        <f t="shared" si="6"/>
        <v>1156769.6324653625</v>
      </c>
      <c r="H46" s="87">
        <v>0</v>
      </c>
      <c r="I46" s="36">
        <f t="shared" si="7"/>
        <v>1156769.6324653625</v>
      </c>
    </row>
    <row r="47" spans="1:9">
      <c r="A47" s="29"/>
      <c r="B47" s="28" t="s">
        <v>152</v>
      </c>
      <c r="C47" s="87">
        <v>-1433375.4391787825</v>
      </c>
      <c r="D47" s="87">
        <v>-1146413.6762551903</v>
      </c>
      <c r="E47" s="36">
        <f t="shared" si="5"/>
        <v>-286961.76292359224</v>
      </c>
      <c r="F47" s="36">
        <v>0</v>
      </c>
      <c r="G47" s="87">
        <f t="shared" si="6"/>
        <v>-286961.76292359224</v>
      </c>
      <c r="H47" s="87">
        <v>0</v>
      </c>
      <c r="I47" s="36">
        <f t="shared" si="7"/>
        <v>-286961.76292359224</v>
      </c>
    </row>
    <row r="48" spans="1:9">
      <c r="A48" s="29"/>
      <c r="B48" s="28" t="s">
        <v>153</v>
      </c>
      <c r="C48" s="87">
        <v>2391435.9645161349</v>
      </c>
      <c r="D48" s="87">
        <v>1912670.4844200045</v>
      </c>
      <c r="E48" s="36">
        <f t="shared" si="5"/>
        <v>478765.4800961304</v>
      </c>
      <c r="F48" s="36">
        <v>0</v>
      </c>
      <c r="G48" s="87">
        <f t="shared" si="6"/>
        <v>478765.4800961304</v>
      </c>
      <c r="H48" s="87">
        <v>0</v>
      </c>
      <c r="I48" s="36">
        <f t="shared" si="7"/>
        <v>478765.4800961304</v>
      </c>
    </row>
    <row r="49" spans="1:9">
      <c r="A49" s="29"/>
      <c r="B49" s="28" t="s">
        <v>251</v>
      </c>
      <c r="C49" s="87">
        <v>0</v>
      </c>
      <c r="D49" s="87">
        <v>0</v>
      </c>
      <c r="E49" s="36">
        <f t="shared" si="5"/>
        <v>0</v>
      </c>
      <c r="F49" s="36">
        <v>0</v>
      </c>
      <c r="G49" s="87">
        <f t="shared" si="6"/>
        <v>0</v>
      </c>
      <c r="H49" s="87">
        <v>0</v>
      </c>
      <c r="I49" s="36">
        <f t="shared" si="7"/>
        <v>0</v>
      </c>
    </row>
    <row r="50" spans="1:9">
      <c r="A50" s="29"/>
      <c r="B50" s="28" t="s">
        <v>252</v>
      </c>
      <c r="C50" s="87">
        <v>0</v>
      </c>
      <c r="D50" s="87">
        <v>0</v>
      </c>
      <c r="E50" s="36">
        <f t="shared" si="5"/>
        <v>0</v>
      </c>
      <c r="F50" s="36">
        <v>0</v>
      </c>
      <c r="G50" s="87">
        <f t="shared" si="6"/>
        <v>0</v>
      </c>
      <c r="H50" s="87">
        <v>0</v>
      </c>
      <c r="I50" s="36">
        <f t="shared" si="7"/>
        <v>0</v>
      </c>
    </row>
    <row r="51" spans="1:9">
      <c r="A51" s="29"/>
      <c r="B51" s="28" t="s">
        <v>154</v>
      </c>
      <c r="C51" s="87">
        <v>0</v>
      </c>
      <c r="D51" s="87">
        <v>0</v>
      </c>
      <c r="E51" s="36">
        <f t="shared" si="5"/>
        <v>0</v>
      </c>
      <c r="F51" s="36">
        <v>0</v>
      </c>
      <c r="G51" s="87">
        <f t="shared" si="6"/>
        <v>0</v>
      </c>
      <c r="H51" s="87">
        <v>0</v>
      </c>
      <c r="I51" s="36">
        <f t="shared" si="7"/>
        <v>0</v>
      </c>
    </row>
    <row r="52" spans="1:9">
      <c r="B52" s="28" t="s">
        <v>199</v>
      </c>
      <c r="C52" s="87">
        <v>607820.01881875284</v>
      </c>
      <c r="D52" s="87">
        <v>607820.01881875284</v>
      </c>
      <c r="E52" s="36">
        <f t="shared" si="5"/>
        <v>0</v>
      </c>
      <c r="F52" s="36">
        <v>0</v>
      </c>
      <c r="G52" s="87">
        <f t="shared" si="6"/>
        <v>0</v>
      </c>
      <c r="H52" s="87">
        <v>0</v>
      </c>
      <c r="I52" s="36">
        <f t="shared" si="7"/>
        <v>0</v>
      </c>
    </row>
    <row r="53" spans="1:9">
      <c r="A53" s="29"/>
      <c r="B53" s="28" t="s">
        <v>155</v>
      </c>
      <c r="C53" s="87">
        <v>0</v>
      </c>
      <c r="D53" s="87">
        <v>0</v>
      </c>
      <c r="E53" s="36">
        <f t="shared" si="5"/>
        <v>0</v>
      </c>
      <c r="F53" s="36">
        <v>0</v>
      </c>
      <c r="G53" s="87">
        <f t="shared" si="6"/>
        <v>0</v>
      </c>
      <c r="H53" s="87">
        <v>0</v>
      </c>
      <c r="I53" s="36">
        <f t="shared" si="7"/>
        <v>0</v>
      </c>
    </row>
    <row r="54" spans="1:9">
      <c r="A54" s="29"/>
      <c r="B54" s="28" t="s">
        <v>156</v>
      </c>
      <c r="C54" s="87">
        <v>1549336.0203645513</v>
      </c>
      <c r="D54" s="87">
        <v>0</v>
      </c>
      <c r="E54" s="36">
        <f t="shared" si="5"/>
        <v>1549336.0203645513</v>
      </c>
      <c r="F54" s="36">
        <v>0</v>
      </c>
      <c r="G54" s="87">
        <f t="shared" si="6"/>
        <v>1549336.0203645513</v>
      </c>
      <c r="H54" s="87">
        <v>0</v>
      </c>
      <c r="I54" s="36">
        <f t="shared" si="7"/>
        <v>1549336.0203645513</v>
      </c>
    </row>
    <row r="55" spans="1:9">
      <c r="A55" s="29"/>
      <c r="B55" s="28" t="s">
        <v>157</v>
      </c>
      <c r="C55" s="87">
        <v>99928.35500000004</v>
      </c>
      <c r="D55" s="87">
        <v>99928.35500000004</v>
      </c>
      <c r="E55" s="36">
        <f t="shared" si="5"/>
        <v>0</v>
      </c>
      <c r="F55" s="36">
        <v>0</v>
      </c>
      <c r="G55" s="87">
        <f t="shared" si="6"/>
        <v>0</v>
      </c>
      <c r="H55" s="87">
        <v>0</v>
      </c>
      <c r="I55" s="36">
        <f t="shared" si="7"/>
        <v>0</v>
      </c>
    </row>
    <row r="56" spans="1:9">
      <c r="A56" s="29"/>
      <c r="B56" s="28" t="s">
        <v>195</v>
      </c>
      <c r="C56" s="87">
        <v>-1014779.3644999996</v>
      </c>
      <c r="D56" s="87">
        <v>-1014779.3644999996</v>
      </c>
      <c r="E56" s="36">
        <f t="shared" si="5"/>
        <v>0</v>
      </c>
      <c r="F56" s="36">
        <v>0</v>
      </c>
      <c r="G56" s="87">
        <f t="shared" si="6"/>
        <v>0</v>
      </c>
      <c r="H56" s="87">
        <v>0</v>
      </c>
      <c r="I56" s="36">
        <f t="shared" si="7"/>
        <v>0</v>
      </c>
    </row>
    <row r="57" spans="1:9">
      <c r="A57" s="29"/>
      <c r="B57" s="28" t="s">
        <v>46</v>
      </c>
      <c r="C57" s="87">
        <v>215030.68398295942</v>
      </c>
      <c r="D57" s="87">
        <v>171981.54104957092</v>
      </c>
      <c r="E57" s="36">
        <f t="shared" si="5"/>
        <v>43049.142933388503</v>
      </c>
      <c r="F57" s="36">
        <v>0</v>
      </c>
      <c r="G57" s="87">
        <f t="shared" si="6"/>
        <v>43049.142933388503</v>
      </c>
      <c r="H57" s="87">
        <v>0</v>
      </c>
      <c r="I57" s="36">
        <f t="shared" si="7"/>
        <v>43049.142933388503</v>
      </c>
    </row>
    <row r="58" spans="1:9">
      <c r="A58" s="29"/>
      <c r="B58" s="28" t="s">
        <v>124</v>
      </c>
      <c r="C58" s="87">
        <v>947609.03999999934</v>
      </c>
      <c r="D58" s="87">
        <v>947609.03999999934</v>
      </c>
      <c r="E58" s="36">
        <f t="shared" si="5"/>
        <v>0</v>
      </c>
      <c r="F58" s="36">
        <v>0</v>
      </c>
      <c r="G58" s="87">
        <f t="shared" si="6"/>
        <v>0</v>
      </c>
      <c r="H58" s="87">
        <v>0</v>
      </c>
      <c r="I58" s="36">
        <f t="shared" si="7"/>
        <v>0</v>
      </c>
    </row>
    <row r="59" spans="1:9">
      <c r="A59" s="29"/>
      <c r="B59" s="28" t="s">
        <v>166</v>
      </c>
      <c r="C59" s="87">
        <v>-279626980.81499469</v>
      </c>
      <c r="D59" s="87">
        <v>-215716683.55780858</v>
      </c>
      <c r="E59" s="87">
        <f t="shared" si="5"/>
        <v>-63910297.257186115</v>
      </c>
      <c r="F59" s="87">
        <v>0</v>
      </c>
      <c r="G59" s="87">
        <f t="shared" si="6"/>
        <v>-63910297.257186115</v>
      </c>
      <c r="H59" s="87">
        <v>0</v>
      </c>
      <c r="I59" s="87">
        <f t="shared" si="7"/>
        <v>-63910297.257186115</v>
      </c>
    </row>
    <row r="60" spans="1:9">
      <c r="A60" s="29"/>
      <c r="B60" s="28" t="s">
        <v>196</v>
      </c>
      <c r="C60" s="87">
        <v>-2965441.82</v>
      </c>
      <c r="D60" s="87">
        <v>-2299877.8694263329</v>
      </c>
      <c r="E60" s="87">
        <f t="shared" si="5"/>
        <v>-665563.95057366695</v>
      </c>
      <c r="F60" s="87">
        <v>0</v>
      </c>
      <c r="G60" s="87">
        <f t="shared" si="6"/>
        <v>-665563.95057366695</v>
      </c>
      <c r="H60" s="87">
        <v>0</v>
      </c>
      <c r="I60" s="87">
        <f t="shared" si="7"/>
        <v>-665563.95057366695</v>
      </c>
    </row>
    <row r="61" spans="1:9">
      <c r="A61" s="29"/>
      <c r="B61" s="28" t="s">
        <v>167</v>
      </c>
      <c r="C61" s="87">
        <v>-32397876.140000001</v>
      </c>
      <c r="D61" s="87">
        <v>-27605604.731207795</v>
      </c>
      <c r="E61" s="87">
        <f t="shared" si="5"/>
        <v>-4792271.4087922052</v>
      </c>
      <c r="F61" s="87">
        <v>0</v>
      </c>
      <c r="G61" s="87">
        <f t="shared" si="6"/>
        <v>-4792271.4087922052</v>
      </c>
      <c r="H61" s="87">
        <v>0</v>
      </c>
      <c r="I61" s="87">
        <f t="shared" si="7"/>
        <v>-4792271.4087922052</v>
      </c>
    </row>
    <row r="62" spans="1:9">
      <c r="A62" s="29"/>
      <c r="B62" s="88" t="s">
        <v>49</v>
      </c>
      <c r="C62" s="89">
        <f t="shared" ref="C62:I62" si="8">SUM(C24:C61)</f>
        <v>-12877535.737682186</v>
      </c>
      <c r="D62" s="89">
        <f t="shared" si="8"/>
        <v>8156640.1315275729</v>
      </c>
      <c r="E62" s="89">
        <f t="shared" si="8"/>
        <v>-21034175.869209833</v>
      </c>
      <c r="F62" s="89">
        <f t="shared" si="8"/>
        <v>0</v>
      </c>
      <c r="G62" s="89">
        <f t="shared" si="8"/>
        <v>-21034175.869209833</v>
      </c>
      <c r="H62" s="89">
        <f t="shared" si="8"/>
        <v>-284701.14287026826</v>
      </c>
      <c r="I62" s="89">
        <f t="shared" si="8"/>
        <v>-20749474.726339571</v>
      </c>
    </row>
    <row r="63" spans="1:9">
      <c r="A63" s="29"/>
      <c r="B63" s="28" t="s">
        <v>50</v>
      </c>
      <c r="C63" s="40"/>
      <c r="D63" s="40"/>
      <c r="E63" s="40"/>
      <c r="F63" s="40"/>
      <c r="G63" s="40"/>
      <c r="H63" s="40"/>
      <c r="I63" s="40"/>
    </row>
    <row r="64" spans="1:9">
      <c r="A64" s="29"/>
      <c r="B64" s="28" t="s">
        <v>51</v>
      </c>
      <c r="C64" s="28">
        <f t="shared" ref="C64:I64" si="9">SUM(C12,C21,C62)</f>
        <v>137033993.07945111</v>
      </c>
      <c r="D64" s="28">
        <f t="shared" si="9"/>
        <v>108779182.90441829</v>
      </c>
      <c r="E64" s="28">
        <f t="shared" si="9"/>
        <v>28254810.175032772</v>
      </c>
      <c r="F64" s="28">
        <f t="shared" si="9"/>
        <v>-499319.90530997596</v>
      </c>
      <c r="G64" s="28">
        <f t="shared" si="9"/>
        <v>28754130.080342747</v>
      </c>
      <c r="H64" s="28">
        <f t="shared" si="9"/>
        <v>6137656.5406950526</v>
      </c>
      <c r="I64" s="28">
        <f t="shared" si="9"/>
        <v>22616473.539647691</v>
      </c>
    </row>
    <row r="65" spans="1:9">
      <c r="A65" s="29"/>
      <c r="B65" s="28" t="s">
        <v>52</v>
      </c>
      <c r="C65" s="39">
        <f>-C98</f>
        <v>-1572643.2676085383</v>
      </c>
      <c r="D65" s="39">
        <f t="shared" ref="D65:E65" si="10">-D98</f>
        <v>-1112187.5984106355</v>
      </c>
      <c r="E65" s="39">
        <f t="shared" si="10"/>
        <v>-460455.66919790208</v>
      </c>
      <c r="F65" s="39">
        <f t="shared" ref="F65:I65" si="11">-F98</f>
        <v>24965.995265498801</v>
      </c>
      <c r="G65" s="39">
        <f t="shared" si="11"/>
        <v>-485421.66446340084</v>
      </c>
      <c r="H65" s="39">
        <f t="shared" si="11"/>
        <v>-306882.82703475264</v>
      </c>
      <c r="I65" s="39">
        <f t="shared" si="11"/>
        <v>-178538.83742864875</v>
      </c>
    </row>
    <row r="66" spans="1:9">
      <c r="A66" s="29"/>
      <c r="C66" s="40"/>
      <c r="D66" s="40"/>
      <c r="E66" s="40"/>
      <c r="F66" s="40"/>
      <c r="G66" s="40"/>
      <c r="H66" s="40"/>
      <c r="I66" s="40"/>
    </row>
    <row r="67" spans="1:9">
      <c r="A67" s="29"/>
      <c r="B67" s="28" t="s">
        <v>12</v>
      </c>
      <c r="C67" s="28">
        <f>SUM(C64:C65)</f>
        <v>135461349.81184256</v>
      </c>
      <c r="D67" s="28">
        <v>47921724.194268502</v>
      </c>
      <c r="E67" s="28">
        <f>C67-D67</f>
        <v>87539625.617574066</v>
      </c>
      <c r="F67" s="28">
        <f t="shared" ref="F67" si="12">SUM(F64:F65)</f>
        <v>-474353.91004447715</v>
      </c>
      <c r="G67" s="28">
        <f t="shared" ref="G67:I67" si="13">SUM(G64:G65)</f>
        <v>28268708.415879346</v>
      </c>
      <c r="H67" s="28">
        <f t="shared" si="13"/>
        <v>5830773.7136602998</v>
      </c>
      <c r="I67" s="28">
        <f t="shared" si="13"/>
        <v>22437934.702219043</v>
      </c>
    </row>
    <row r="68" spans="1:9">
      <c r="A68" s="29"/>
      <c r="B68" s="28" t="s">
        <v>53</v>
      </c>
      <c r="C68" s="42">
        <v>0.21</v>
      </c>
      <c r="D68" s="42">
        <v>0.21</v>
      </c>
      <c r="E68" s="42">
        <v>0.21</v>
      </c>
      <c r="F68" s="42">
        <v>0.21</v>
      </c>
      <c r="G68" s="42">
        <v>0.21</v>
      </c>
      <c r="H68" s="42">
        <v>0.21</v>
      </c>
      <c r="I68" s="42">
        <v>0.21</v>
      </c>
    </row>
    <row r="69" spans="1:9">
      <c r="A69" s="29"/>
      <c r="C69" s="40"/>
      <c r="D69" s="40"/>
      <c r="E69" s="40"/>
      <c r="F69" s="40"/>
      <c r="G69" s="40"/>
      <c r="H69" s="40"/>
      <c r="I69" s="40"/>
    </row>
    <row r="70" spans="1:9">
      <c r="A70" s="29"/>
      <c r="B70" s="28" t="s">
        <v>84</v>
      </c>
      <c r="C70" s="45">
        <f>C67*C68</f>
        <v>28446883.460486937</v>
      </c>
      <c r="D70" s="45">
        <f>D67*D68</f>
        <v>10063562.080796385</v>
      </c>
      <c r="E70" s="45">
        <f>E67*E68</f>
        <v>18383321.379690554</v>
      </c>
      <c r="F70" s="45">
        <f t="shared" ref="F70:I70" si="14">+F67*F68</f>
        <v>-99614.321109340191</v>
      </c>
      <c r="G70" s="45">
        <f t="shared" si="14"/>
        <v>5936428.7673346624</v>
      </c>
      <c r="H70" s="45">
        <f t="shared" si="14"/>
        <v>1224462.479868663</v>
      </c>
      <c r="I70" s="45">
        <f t="shared" si="14"/>
        <v>4711966.2874659989</v>
      </c>
    </row>
    <row r="71" spans="1:9">
      <c r="A71" s="29"/>
      <c r="B71" s="28" t="s">
        <v>85</v>
      </c>
      <c r="C71" s="45"/>
      <c r="D71" s="45"/>
      <c r="E71" s="90"/>
      <c r="F71" s="90"/>
      <c r="G71" s="45"/>
      <c r="H71" s="45"/>
      <c r="I71" s="90"/>
    </row>
    <row r="72" spans="1:9">
      <c r="A72" s="29"/>
      <c r="B72" s="38" t="s">
        <v>86</v>
      </c>
      <c r="C72" s="28">
        <v>0</v>
      </c>
      <c r="D72" s="28">
        <v>0</v>
      </c>
      <c r="E72" s="36">
        <f t="shared" ref="E72:E74" si="15">C72-D72</f>
        <v>0</v>
      </c>
      <c r="F72" s="36">
        <v>0</v>
      </c>
      <c r="G72" s="28">
        <f t="shared" ref="G72:G74" si="16">+E72-F72</f>
        <v>0</v>
      </c>
      <c r="H72" s="28">
        <v>0</v>
      </c>
      <c r="I72" s="36">
        <f t="shared" ref="I72:I74" si="17">+G72-H72</f>
        <v>0</v>
      </c>
    </row>
    <row r="73" spans="1:9">
      <c r="A73" s="29"/>
      <c r="B73" s="38" t="s">
        <v>168</v>
      </c>
      <c r="C73" s="28">
        <v>-645000</v>
      </c>
      <c r="D73" s="28">
        <v>-645000</v>
      </c>
      <c r="E73" s="36">
        <f t="shared" si="15"/>
        <v>0</v>
      </c>
      <c r="F73" s="36">
        <v>0</v>
      </c>
      <c r="G73" s="28">
        <f t="shared" si="16"/>
        <v>0</v>
      </c>
      <c r="H73" s="28">
        <v>0</v>
      </c>
      <c r="I73" s="36">
        <f t="shared" si="17"/>
        <v>0</v>
      </c>
    </row>
    <row r="74" spans="1:9">
      <c r="A74" s="29"/>
      <c r="B74" s="38" t="s">
        <v>125</v>
      </c>
      <c r="C74" s="28">
        <v>0</v>
      </c>
      <c r="D74" s="28">
        <v>0</v>
      </c>
      <c r="E74" s="36">
        <f t="shared" si="15"/>
        <v>0</v>
      </c>
      <c r="F74" s="36">
        <v>0</v>
      </c>
      <c r="G74" s="28">
        <f t="shared" si="16"/>
        <v>0</v>
      </c>
      <c r="H74" s="28">
        <v>0</v>
      </c>
      <c r="I74" s="36">
        <f t="shared" si="17"/>
        <v>0</v>
      </c>
    </row>
    <row r="75" spans="1:9" ht="13.5" thickBot="1">
      <c r="A75" s="29"/>
      <c r="B75" s="28" t="s">
        <v>54</v>
      </c>
      <c r="C75" s="43">
        <f>SUM(C70:C74)</f>
        <v>27801883.460486937</v>
      </c>
      <c r="D75" s="43">
        <f t="shared" ref="D75:E75" si="18">SUM(D70:D74)</f>
        <v>9418562.0807963852</v>
      </c>
      <c r="E75" s="43">
        <f t="shared" si="18"/>
        <v>18383321.379690554</v>
      </c>
      <c r="F75" s="43">
        <f t="shared" ref="F75:I75" si="19">SUM(F70:F74)</f>
        <v>-99614.321109340191</v>
      </c>
      <c r="G75" s="43">
        <f t="shared" si="19"/>
        <v>5936428.7673346624</v>
      </c>
      <c r="H75" s="43">
        <f t="shared" si="19"/>
        <v>1224462.479868663</v>
      </c>
      <c r="I75" s="43">
        <f t="shared" si="19"/>
        <v>4711966.2874659989</v>
      </c>
    </row>
    <row r="76" spans="1:9" ht="13.5" thickTop="1">
      <c r="A76" s="29"/>
      <c r="C76" s="58"/>
      <c r="D76" s="58"/>
      <c r="E76" s="58"/>
      <c r="F76" s="58"/>
      <c r="G76" s="58"/>
      <c r="H76" s="58"/>
      <c r="I76" s="58"/>
    </row>
    <row r="77" spans="1:9">
      <c r="A77" s="29"/>
      <c r="B77" s="28" t="s">
        <v>55</v>
      </c>
      <c r="D77" s="28"/>
      <c r="E77" s="90"/>
      <c r="F77" s="90"/>
      <c r="H77" s="28"/>
      <c r="I77" s="90"/>
    </row>
    <row r="78" spans="1:9">
      <c r="A78" s="29"/>
      <c r="B78" s="28" t="s">
        <v>12</v>
      </c>
      <c r="C78" s="28">
        <f>C64</f>
        <v>137033993.07945111</v>
      </c>
      <c r="D78" s="28">
        <f t="shared" ref="D78:E78" si="20">D64</f>
        <v>108779182.90441829</v>
      </c>
      <c r="E78" s="28">
        <f t="shared" si="20"/>
        <v>28254810.175032772</v>
      </c>
      <c r="F78" s="28">
        <f t="shared" ref="F78" si="21">+F64</f>
        <v>-499319.90530997596</v>
      </c>
      <c r="G78" s="28">
        <f>+G64</f>
        <v>28754130.080342747</v>
      </c>
      <c r="H78" s="28">
        <f t="shared" ref="H78:I78" si="22">+H64</f>
        <v>6137656.5406950526</v>
      </c>
      <c r="I78" s="28">
        <f t="shared" si="22"/>
        <v>22616473.539647691</v>
      </c>
    </row>
    <row r="79" spans="1:9">
      <c r="A79" s="29"/>
      <c r="B79" s="28" t="s">
        <v>56</v>
      </c>
      <c r="D79" s="28"/>
      <c r="H79" s="28"/>
    </row>
    <row r="80" spans="1:9">
      <c r="A80" s="29"/>
      <c r="B80" s="28" t="s">
        <v>87</v>
      </c>
      <c r="C80" s="36">
        <v>0</v>
      </c>
      <c r="D80" s="36">
        <v>0</v>
      </c>
      <c r="E80" s="36">
        <f t="shared" ref="E80:E84" si="23">C80-D80</f>
        <v>0</v>
      </c>
      <c r="F80" s="36">
        <v>0</v>
      </c>
      <c r="G80" s="36">
        <f t="shared" ref="G80:G84" si="24">+E80-F80</f>
        <v>0</v>
      </c>
      <c r="H80" s="36">
        <v>0</v>
      </c>
      <c r="I80" s="36">
        <f t="shared" ref="I80:I84" si="25">+G80-H80</f>
        <v>0</v>
      </c>
    </row>
    <row r="81" spans="1:9">
      <c r="A81" s="29"/>
      <c r="B81" s="28" t="s">
        <v>57</v>
      </c>
      <c r="C81" s="36">
        <v>279626980.81499469</v>
      </c>
      <c r="D81" s="36">
        <v>215716683.55780858</v>
      </c>
      <c r="E81" s="36">
        <f t="shared" si="23"/>
        <v>63910297.257186115</v>
      </c>
      <c r="F81" s="36">
        <v>0</v>
      </c>
      <c r="G81" s="36">
        <f t="shared" si="24"/>
        <v>63910297.257186115</v>
      </c>
      <c r="H81" s="36">
        <v>0</v>
      </c>
      <c r="I81" s="36">
        <f t="shared" si="25"/>
        <v>63910297.257186115</v>
      </c>
    </row>
    <row r="82" spans="1:9">
      <c r="A82" s="29"/>
      <c r="B82" s="36" t="s">
        <v>208</v>
      </c>
      <c r="C82" s="36">
        <v>2965441.82</v>
      </c>
      <c r="D82" s="36">
        <v>2299877.8694263329</v>
      </c>
      <c r="E82" s="36">
        <f t="shared" si="23"/>
        <v>665563.95057366695</v>
      </c>
      <c r="F82" s="36">
        <v>0</v>
      </c>
      <c r="G82" s="36">
        <f t="shared" si="24"/>
        <v>665563.95057366695</v>
      </c>
      <c r="H82" s="36">
        <v>0</v>
      </c>
      <c r="I82" s="36">
        <f t="shared" si="25"/>
        <v>665563.95057366695</v>
      </c>
    </row>
    <row r="83" spans="1:9">
      <c r="B83" s="36" t="s">
        <v>202</v>
      </c>
      <c r="C83" s="36">
        <v>-3382376.6</v>
      </c>
      <c r="D83" s="36">
        <v>-2685827.3003767161</v>
      </c>
      <c r="E83" s="36">
        <f t="shared" si="23"/>
        <v>-696549.29962328402</v>
      </c>
      <c r="F83" s="36">
        <v>0</v>
      </c>
      <c r="G83" s="36">
        <f t="shared" si="24"/>
        <v>-696549.29962328402</v>
      </c>
      <c r="H83" s="36">
        <v>0</v>
      </c>
      <c r="I83" s="36">
        <f t="shared" si="25"/>
        <v>-696549.29962328402</v>
      </c>
    </row>
    <row r="84" spans="1:9">
      <c r="B84" s="28" t="s">
        <v>58</v>
      </c>
      <c r="C84" s="39">
        <f>-373891173.762275</f>
        <v>-373891173.76227498</v>
      </c>
      <c r="D84" s="39">
        <v>-295738449.02175117</v>
      </c>
      <c r="E84" s="39">
        <f t="shared" si="23"/>
        <v>-78152724.740523815</v>
      </c>
      <c r="F84" s="39">
        <v>0</v>
      </c>
      <c r="G84" s="39">
        <f t="shared" si="24"/>
        <v>-78152724.740523815</v>
      </c>
      <c r="H84" s="39">
        <v>0</v>
      </c>
      <c r="I84" s="39">
        <f t="shared" si="25"/>
        <v>-78152724.740523815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26">SUM(C78:C84)</f>
        <v>42352865.352170765</v>
      </c>
      <c r="D86" s="28">
        <f t="shared" si="26"/>
        <v>28371468.009525299</v>
      </c>
      <c r="E86" s="28">
        <f t="shared" si="26"/>
        <v>13981397.342645451</v>
      </c>
      <c r="F86" s="28">
        <f t="shared" si="26"/>
        <v>-499319.90530997596</v>
      </c>
      <c r="G86" s="28">
        <f t="shared" si="26"/>
        <v>14480717.247955427</v>
      </c>
      <c r="H86" s="28">
        <f t="shared" si="26"/>
        <v>6137656.5406950526</v>
      </c>
      <c r="I86" s="28">
        <f t="shared" si="26"/>
        <v>8343060.7072603852</v>
      </c>
    </row>
    <row r="87" spans="1:9">
      <c r="B87" s="91" t="s">
        <v>59</v>
      </c>
      <c r="C87" s="114">
        <v>0</v>
      </c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</row>
    <row r="88" spans="1:9">
      <c r="B88" s="91" t="s">
        <v>60</v>
      </c>
      <c r="C88" s="87">
        <f t="shared" ref="C88:F88" si="27">+SUM(C86:C87)</f>
        <v>42352865.352170765</v>
      </c>
      <c r="D88" s="87">
        <f t="shared" si="27"/>
        <v>28371468.009525299</v>
      </c>
      <c r="E88" s="87">
        <f t="shared" si="27"/>
        <v>13981397.342645451</v>
      </c>
      <c r="F88" s="87">
        <f t="shared" si="27"/>
        <v>-499319.90530997596</v>
      </c>
      <c r="G88" s="87">
        <f t="shared" ref="G88:I88" si="28">+SUM(G86:G87)</f>
        <v>14480717.247955427</v>
      </c>
      <c r="H88" s="87">
        <f t="shared" si="28"/>
        <v>6137656.5406950526</v>
      </c>
      <c r="I88" s="87">
        <f t="shared" si="28"/>
        <v>8343060.7072603852</v>
      </c>
    </row>
    <row r="89" spans="1:9">
      <c r="B89" s="28" t="s">
        <v>61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62</v>
      </c>
      <c r="C91" s="45">
        <f t="shared" ref="C91:I91" si="29">+C88*C89</f>
        <v>2117643.2676085383</v>
      </c>
      <c r="D91" s="45">
        <f t="shared" si="29"/>
        <v>1418573.400476265</v>
      </c>
      <c r="E91" s="45">
        <f t="shared" si="29"/>
        <v>699069.86713227257</v>
      </c>
      <c r="F91" s="45">
        <f t="shared" si="29"/>
        <v>-24965.995265498801</v>
      </c>
      <c r="G91" s="45">
        <f t="shared" si="29"/>
        <v>724035.86239777133</v>
      </c>
      <c r="H91" s="45">
        <f t="shared" si="29"/>
        <v>306882.82703475264</v>
      </c>
      <c r="I91" s="45">
        <f t="shared" si="29"/>
        <v>417153.03536301927</v>
      </c>
    </row>
    <row r="92" spans="1:9">
      <c r="D92" s="28"/>
      <c r="H92" s="28"/>
    </row>
    <row r="93" spans="1:9">
      <c r="B93" s="28" t="s">
        <v>63</v>
      </c>
      <c r="D93" s="28"/>
      <c r="H93" s="28"/>
    </row>
    <row r="94" spans="1:9">
      <c r="B94" s="28" t="s">
        <v>64</v>
      </c>
      <c r="C94" s="28">
        <v>-285000</v>
      </c>
      <c r="D94" s="28">
        <v>-285000</v>
      </c>
      <c r="E94" s="36">
        <f t="shared" ref="E94:E97" si="30">C94-D94</f>
        <v>0</v>
      </c>
      <c r="F94" s="36">
        <v>0</v>
      </c>
      <c r="G94" s="28">
        <f t="shared" ref="G94:G97" si="31">+E94-F94</f>
        <v>0</v>
      </c>
      <c r="H94" s="28">
        <v>0</v>
      </c>
      <c r="I94" s="36">
        <f t="shared" ref="I94:I97" si="32">+G94-H94</f>
        <v>0</v>
      </c>
    </row>
    <row r="95" spans="1:9">
      <c r="B95" s="28" t="s">
        <v>203</v>
      </c>
      <c r="C95" s="28">
        <v>-260000</v>
      </c>
      <c r="D95" s="28">
        <v>-21385.802065629494</v>
      </c>
      <c r="E95" s="36">
        <f t="shared" si="30"/>
        <v>-238614.19793437052</v>
      </c>
      <c r="F95" s="36">
        <v>0</v>
      </c>
      <c r="G95" s="28">
        <f t="shared" si="31"/>
        <v>-238614.19793437052</v>
      </c>
      <c r="H95" s="28">
        <v>0</v>
      </c>
      <c r="I95" s="36">
        <f t="shared" si="32"/>
        <v>-238614.19793437052</v>
      </c>
    </row>
    <row r="96" spans="1:9">
      <c r="B96" s="38" t="s">
        <v>88</v>
      </c>
      <c r="C96" s="28">
        <v>0</v>
      </c>
      <c r="D96" s="28">
        <v>0</v>
      </c>
      <c r="E96" s="36">
        <f t="shared" si="30"/>
        <v>0</v>
      </c>
      <c r="F96" s="36">
        <v>0</v>
      </c>
      <c r="G96" s="28">
        <f t="shared" si="31"/>
        <v>0</v>
      </c>
      <c r="H96" s="28">
        <v>0</v>
      </c>
      <c r="I96" s="36">
        <f t="shared" si="32"/>
        <v>0</v>
      </c>
    </row>
    <row r="97" spans="2:9">
      <c r="B97" s="38" t="s">
        <v>126</v>
      </c>
      <c r="C97" s="36">
        <v>0</v>
      </c>
      <c r="D97" s="36">
        <v>0</v>
      </c>
      <c r="E97" s="36">
        <f t="shared" si="30"/>
        <v>0</v>
      </c>
      <c r="F97" s="36">
        <v>0</v>
      </c>
      <c r="G97" s="36">
        <f t="shared" si="31"/>
        <v>0</v>
      </c>
      <c r="H97" s="36">
        <v>0</v>
      </c>
      <c r="I97" s="36">
        <f t="shared" si="32"/>
        <v>0</v>
      </c>
    </row>
    <row r="98" spans="2:9" ht="13.5" thickBot="1">
      <c r="B98" s="28" t="s">
        <v>65</v>
      </c>
      <c r="C98" s="43">
        <f t="shared" ref="C98:I98" si="33">SUM(C91:C97)</f>
        <v>1572643.2676085383</v>
      </c>
      <c r="D98" s="43">
        <f t="shared" si="33"/>
        <v>1112187.5984106355</v>
      </c>
      <c r="E98" s="43">
        <f t="shared" si="33"/>
        <v>460455.66919790208</v>
      </c>
      <c r="F98" s="43">
        <f t="shared" si="33"/>
        <v>-24965.995265498801</v>
      </c>
      <c r="G98" s="43">
        <f t="shared" si="33"/>
        <v>485421.66446340084</v>
      </c>
      <c r="H98" s="43">
        <f t="shared" si="33"/>
        <v>306882.82703475264</v>
      </c>
      <c r="I98" s="43">
        <f t="shared" si="33"/>
        <v>178538.83742864875</v>
      </c>
    </row>
    <row r="99" spans="2:9" ht="13.5" thickTop="1">
      <c r="C99" s="58"/>
      <c r="D99" s="58"/>
      <c r="E99" s="58"/>
      <c r="F99" s="58"/>
      <c r="G99" s="58"/>
      <c r="H99" s="58"/>
      <c r="I99" s="58"/>
    </row>
    <row r="101" spans="2:9">
      <c r="C101" s="28">
        <v>27801882.66248687</v>
      </c>
      <c r="D101" s="32">
        <v>9418562.0807963852</v>
      </c>
      <c r="E101" s="28">
        <v>18383320.581690487</v>
      </c>
      <c r="F101" s="28">
        <v>-99614.321109340191</v>
      </c>
      <c r="G101" s="28">
        <v>5936427.9693345996</v>
      </c>
      <c r="H101" s="32">
        <v>1224462.479868663</v>
      </c>
      <c r="I101" s="28">
        <v>4711965.4894659389</v>
      </c>
    </row>
    <row r="102" spans="2:9">
      <c r="C102" s="28">
        <v>1572643.0676085204</v>
      </c>
      <c r="D102" s="32">
        <v>1112187.5984106355</v>
      </c>
      <c r="E102" s="28">
        <v>460455.46919788723</v>
      </c>
      <c r="F102" s="28">
        <v>-24965.995265498801</v>
      </c>
      <c r="G102" s="28">
        <v>485421.46446338599</v>
      </c>
      <c r="H102" s="32">
        <v>306882.82703475264</v>
      </c>
      <c r="I102" s="28">
        <v>178538.63742863384</v>
      </c>
    </row>
    <row r="103" spans="2:9">
      <c r="C103" s="28">
        <f>+C75-C101</f>
        <v>0.79800006747245789</v>
      </c>
      <c r="D103" s="28">
        <f t="shared" ref="D103:I103" si="34">+D75-D101</f>
        <v>0</v>
      </c>
      <c r="E103" s="28">
        <f t="shared" si="34"/>
        <v>0.79800006747245789</v>
      </c>
      <c r="F103" s="28">
        <f t="shared" si="34"/>
        <v>0</v>
      </c>
      <c r="G103" s="28">
        <f t="shared" si="34"/>
        <v>0.79800006281584501</v>
      </c>
      <c r="H103" s="28">
        <f t="shared" si="34"/>
        <v>0</v>
      </c>
      <c r="I103" s="28">
        <f t="shared" si="34"/>
        <v>0.79800006002187729</v>
      </c>
    </row>
    <row r="104" spans="2:9">
      <c r="C104" s="28">
        <f>+C98-C102</f>
        <v>0.20000001788139343</v>
      </c>
      <c r="D104" s="28">
        <f t="shared" ref="D104:I104" si="35">+D98-D102</f>
        <v>0</v>
      </c>
      <c r="E104" s="28">
        <f t="shared" si="35"/>
        <v>0.20000001485459507</v>
      </c>
      <c r="F104" s="28">
        <f t="shared" si="35"/>
        <v>0</v>
      </c>
      <c r="G104" s="28">
        <f t="shared" si="35"/>
        <v>0.20000001485459507</v>
      </c>
      <c r="H104" s="28">
        <f t="shared" si="35"/>
        <v>0</v>
      </c>
      <c r="I104" s="28">
        <f t="shared" si="35"/>
        <v>0.20000001491280273</v>
      </c>
    </row>
    <row r="1048454" spans="1:1">
      <c r="A1048454" s="52"/>
    </row>
    <row r="1048462" spans="1:1">
      <c r="A1048462" s="5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8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C8" sqref="C8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92" customWidth="1"/>
    <col min="10" max="16384" width="9.140625" style="59"/>
  </cols>
  <sheetData>
    <row r="1" spans="1:9">
      <c r="A1" s="150" t="s">
        <v>118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32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191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193</v>
      </c>
      <c r="B4" s="150"/>
      <c r="C4" s="150"/>
      <c r="D4" s="150"/>
      <c r="E4" s="150"/>
      <c r="F4" s="150"/>
      <c r="G4" s="150"/>
      <c r="H4" s="150"/>
      <c r="I4" s="150"/>
    </row>
    <row r="5" spans="1:9" ht="15">
      <c r="B5" s="46" t="s">
        <v>0</v>
      </c>
    </row>
    <row r="6" spans="1:9">
      <c r="B6" s="93"/>
      <c r="D6" s="29" t="s">
        <v>119</v>
      </c>
      <c r="E6" s="29" t="s">
        <v>120</v>
      </c>
      <c r="F6" s="29" t="s">
        <v>123</v>
      </c>
      <c r="G6" s="29" t="s">
        <v>123</v>
      </c>
      <c r="H6" s="29" t="s">
        <v>122</v>
      </c>
      <c r="I6" s="29" t="s">
        <v>173</v>
      </c>
    </row>
    <row r="7" spans="1:9">
      <c r="B7" s="94" t="s">
        <v>4</v>
      </c>
      <c r="C7" s="94" t="s">
        <v>33</v>
      </c>
      <c r="D7" s="94" t="s">
        <v>121</v>
      </c>
      <c r="E7" s="86" t="s">
        <v>123</v>
      </c>
      <c r="F7" s="86" t="s">
        <v>34</v>
      </c>
      <c r="G7" s="86" t="s">
        <v>35</v>
      </c>
      <c r="H7" s="86" t="s">
        <v>36</v>
      </c>
      <c r="I7" s="86" t="s">
        <v>35</v>
      </c>
    </row>
    <row r="8" spans="1:9">
      <c r="B8" s="85"/>
      <c r="C8" s="116"/>
      <c r="D8" s="116"/>
      <c r="E8" s="116"/>
      <c r="F8" s="116"/>
      <c r="G8" s="116"/>
      <c r="H8" s="116"/>
      <c r="I8" s="116"/>
    </row>
    <row r="9" spans="1:9">
      <c r="A9" s="88" t="s">
        <v>66</v>
      </c>
    </row>
    <row r="10" spans="1:9">
      <c r="A10" s="88" t="s">
        <v>67</v>
      </c>
    </row>
    <row r="12" spans="1:9">
      <c r="A12" s="88" t="s">
        <v>68</v>
      </c>
    </row>
    <row r="13" spans="1:9">
      <c r="B13" s="88" t="s">
        <v>69</v>
      </c>
      <c r="C13" s="92">
        <v>-917580</v>
      </c>
      <c r="D13" s="92">
        <v>-916996</v>
      </c>
      <c r="E13" s="92">
        <f>C13-D13</f>
        <v>-584</v>
      </c>
      <c r="F13" s="92">
        <v>0</v>
      </c>
      <c r="G13" s="92">
        <f>+E13-F13</f>
        <v>-584</v>
      </c>
      <c r="H13" s="92">
        <v>0</v>
      </c>
      <c r="I13" s="92">
        <f>+G13-H13</f>
        <v>-584</v>
      </c>
    </row>
    <row r="14" spans="1:9">
      <c r="A14" s="88" t="s">
        <v>70</v>
      </c>
      <c r="C14" s="117">
        <f t="shared" ref="C14:I14" si="0">SUM(C13)</f>
        <v>-917580</v>
      </c>
      <c r="D14" s="117">
        <f t="shared" si="0"/>
        <v>-916996</v>
      </c>
      <c r="E14" s="117">
        <f t="shared" si="0"/>
        <v>-584</v>
      </c>
      <c r="F14" s="117">
        <f t="shared" si="0"/>
        <v>0</v>
      </c>
      <c r="G14" s="117">
        <f t="shared" si="0"/>
        <v>-584</v>
      </c>
      <c r="H14" s="117">
        <f t="shared" si="0"/>
        <v>0</v>
      </c>
      <c r="I14" s="117">
        <f t="shared" si="0"/>
        <v>-584</v>
      </c>
    </row>
    <row r="15" spans="1:9" s="60" customFormat="1">
      <c r="A15" s="88"/>
      <c r="B15" s="88"/>
      <c r="C15" s="58"/>
      <c r="D15" s="58"/>
      <c r="E15" s="58"/>
      <c r="F15" s="58"/>
      <c r="G15" s="58"/>
      <c r="H15" s="58"/>
      <c r="I15" s="58"/>
    </row>
    <row r="16" spans="1:9">
      <c r="A16" s="88" t="s">
        <v>71</v>
      </c>
    </row>
    <row r="17" spans="1:9">
      <c r="B17" s="95" t="s">
        <v>142</v>
      </c>
      <c r="C17" s="96">
        <v>-67735.037999999986</v>
      </c>
      <c r="D17" s="96">
        <v>-67735.037999999986</v>
      </c>
      <c r="E17" s="96">
        <f t="shared" ref="E17:E54" si="1">C17-D17</f>
        <v>0</v>
      </c>
      <c r="F17" s="96">
        <v>0</v>
      </c>
      <c r="G17" s="96">
        <f t="shared" ref="G17:G54" si="2">+E17-F17</f>
        <v>0</v>
      </c>
      <c r="H17" s="96">
        <v>0</v>
      </c>
      <c r="I17" s="96">
        <f t="shared" ref="I17:I54" si="3">+G17-H17</f>
        <v>0</v>
      </c>
    </row>
    <row r="18" spans="1:9" s="60" customFormat="1">
      <c r="A18" s="88"/>
      <c r="B18" s="95" t="s">
        <v>143</v>
      </c>
      <c r="C18" s="96">
        <v>-126140.7667275</v>
      </c>
      <c r="D18" s="96">
        <v>-124807.1466048596</v>
      </c>
      <c r="E18" s="96">
        <f t="shared" si="1"/>
        <v>-1333.6201226403937</v>
      </c>
      <c r="F18" s="96">
        <v>0</v>
      </c>
      <c r="G18" s="96">
        <f t="shared" si="2"/>
        <v>-1333.6201226403937</v>
      </c>
      <c r="H18" s="96">
        <v>0</v>
      </c>
      <c r="I18" s="96">
        <f t="shared" si="3"/>
        <v>-1333.6201226403937</v>
      </c>
    </row>
    <row r="19" spans="1:9" s="60" customFormat="1">
      <c r="A19" s="88"/>
      <c r="B19" s="95" t="s">
        <v>144</v>
      </c>
      <c r="C19" s="96">
        <v>15446.140867499998</v>
      </c>
      <c r="D19" s="96">
        <v>15446.140867499998</v>
      </c>
      <c r="E19" s="96">
        <f t="shared" si="1"/>
        <v>0</v>
      </c>
      <c r="F19" s="96">
        <v>0</v>
      </c>
      <c r="G19" s="96">
        <f t="shared" si="2"/>
        <v>0</v>
      </c>
      <c r="H19" s="96">
        <v>0</v>
      </c>
      <c r="I19" s="96">
        <f t="shared" si="3"/>
        <v>0</v>
      </c>
    </row>
    <row r="20" spans="1:9" s="60" customFormat="1">
      <c r="A20" s="88"/>
      <c r="B20" s="95" t="s">
        <v>161</v>
      </c>
      <c r="C20" s="96">
        <v>-49137.807599999978</v>
      </c>
      <c r="D20" s="96">
        <v>-49137.807599999978</v>
      </c>
      <c r="E20" s="96">
        <f t="shared" si="1"/>
        <v>0</v>
      </c>
      <c r="F20" s="96">
        <v>0</v>
      </c>
      <c r="G20" s="96">
        <f t="shared" si="2"/>
        <v>0</v>
      </c>
      <c r="H20" s="96">
        <v>0</v>
      </c>
      <c r="I20" s="96">
        <f t="shared" si="3"/>
        <v>0</v>
      </c>
    </row>
    <row r="21" spans="1:9" s="60" customFormat="1">
      <c r="A21" s="88"/>
      <c r="B21" s="95" t="s">
        <v>207</v>
      </c>
      <c r="C21" s="96">
        <v>-97316.699697000207</v>
      </c>
      <c r="D21" s="96">
        <v>-97316.699697000207</v>
      </c>
      <c r="E21" s="96">
        <f t="shared" si="1"/>
        <v>0</v>
      </c>
      <c r="F21" s="96">
        <v>0</v>
      </c>
      <c r="G21" s="96">
        <f t="shared" si="2"/>
        <v>0</v>
      </c>
      <c r="H21" s="96">
        <v>0</v>
      </c>
      <c r="I21" s="96">
        <f t="shared" si="3"/>
        <v>0</v>
      </c>
    </row>
    <row r="22" spans="1:9" s="60" customFormat="1">
      <c r="A22" s="88"/>
      <c r="B22" s="95" t="s">
        <v>198</v>
      </c>
      <c r="C22" s="96">
        <v>0</v>
      </c>
      <c r="D22" s="96">
        <v>0</v>
      </c>
      <c r="E22" s="96">
        <f t="shared" si="1"/>
        <v>0</v>
      </c>
      <c r="F22" s="96">
        <v>0</v>
      </c>
      <c r="G22" s="96">
        <f t="shared" si="2"/>
        <v>0</v>
      </c>
      <c r="H22" s="96">
        <v>0</v>
      </c>
      <c r="I22" s="96">
        <f t="shared" si="3"/>
        <v>0</v>
      </c>
    </row>
    <row r="23" spans="1:9" s="60" customFormat="1">
      <c r="A23" s="88"/>
      <c r="B23" s="95" t="s">
        <v>218</v>
      </c>
      <c r="C23" s="96">
        <v>30615.242194834853</v>
      </c>
      <c r="D23" s="96">
        <v>22021.352192216327</v>
      </c>
      <c r="E23" s="96">
        <f t="shared" si="1"/>
        <v>8593.8900026185256</v>
      </c>
      <c r="F23" s="96">
        <v>0</v>
      </c>
      <c r="G23" s="96">
        <f t="shared" si="2"/>
        <v>8593.8900026185256</v>
      </c>
      <c r="H23" s="96">
        <v>8593.8900026185183</v>
      </c>
      <c r="I23" s="96">
        <f t="shared" si="3"/>
        <v>0</v>
      </c>
    </row>
    <row r="24" spans="1:9" s="60" customFormat="1">
      <c r="A24" s="93"/>
      <c r="B24" s="95" t="s">
        <v>145</v>
      </c>
      <c r="C24" s="96">
        <v>-212003.62141032284</v>
      </c>
      <c r="D24" s="96">
        <v>-169560.4964039762</v>
      </c>
      <c r="E24" s="96">
        <f t="shared" si="1"/>
        <v>-42443.125006346643</v>
      </c>
      <c r="F24" s="96">
        <v>0</v>
      </c>
      <c r="G24" s="96">
        <f t="shared" si="2"/>
        <v>-42443.125006346643</v>
      </c>
      <c r="H24" s="96">
        <v>0</v>
      </c>
      <c r="I24" s="96">
        <f t="shared" si="3"/>
        <v>-42443.125006346643</v>
      </c>
    </row>
    <row r="25" spans="1:9" s="60" customFormat="1">
      <c r="A25" s="93"/>
      <c r="B25" s="95" t="s">
        <v>219</v>
      </c>
      <c r="C25" s="96">
        <v>262170.92999999801</v>
      </c>
      <c r="D25" s="96">
        <v>213966.94199999821</v>
      </c>
      <c r="E25" s="96">
        <f t="shared" si="1"/>
        <v>48203.987999999808</v>
      </c>
      <c r="F25" s="96">
        <v>0</v>
      </c>
      <c r="G25" s="96">
        <f t="shared" si="2"/>
        <v>48203.987999999808</v>
      </c>
      <c r="H25" s="96">
        <v>48203.988000000012</v>
      </c>
      <c r="I25" s="96">
        <f t="shared" si="3"/>
        <v>-2.0372681319713593E-10</v>
      </c>
    </row>
    <row r="26" spans="1:9" s="60" customFormat="1">
      <c r="A26" s="93"/>
      <c r="B26" s="95" t="s">
        <v>146</v>
      </c>
      <c r="C26" s="96">
        <v>0</v>
      </c>
      <c r="D26" s="96">
        <v>0</v>
      </c>
      <c r="E26" s="96">
        <f t="shared" si="1"/>
        <v>0</v>
      </c>
      <c r="F26" s="96">
        <v>0</v>
      </c>
      <c r="G26" s="96">
        <f t="shared" si="2"/>
        <v>0</v>
      </c>
      <c r="H26" s="96">
        <v>0</v>
      </c>
      <c r="I26" s="96">
        <f t="shared" si="3"/>
        <v>0</v>
      </c>
    </row>
    <row r="27" spans="1:9" s="60" customFormat="1">
      <c r="A27" s="93"/>
      <c r="B27" s="95" t="s">
        <v>162</v>
      </c>
      <c r="C27" s="96">
        <v>-65185780.695306711</v>
      </c>
      <c r="D27" s="96">
        <v>-55558884.624252163</v>
      </c>
      <c r="E27" s="96">
        <f t="shared" si="1"/>
        <v>-9626896.071054548</v>
      </c>
      <c r="F27" s="96">
        <v>0</v>
      </c>
      <c r="G27" s="96">
        <f t="shared" si="2"/>
        <v>-9626896.071054548</v>
      </c>
      <c r="H27" s="96">
        <v>0</v>
      </c>
      <c r="I27" s="96">
        <f t="shared" si="3"/>
        <v>-9626896.071054548</v>
      </c>
    </row>
    <row r="28" spans="1:9" s="60" customFormat="1">
      <c r="A28" s="93"/>
      <c r="B28" s="95" t="s">
        <v>246</v>
      </c>
      <c r="C28" s="96">
        <v>2867518.771793623</v>
      </c>
      <c r="D28" s="96">
        <v>2867518.771793623</v>
      </c>
      <c r="E28" s="96">
        <f t="shared" si="1"/>
        <v>0</v>
      </c>
      <c r="F28" s="96">
        <v>0</v>
      </c>
      <c r="G28" s="96">
        <f t="shared" si="2"/>
        <v>0</v>
      </c>
      <c r="H28" s="96">
        <v>0</v>
      </c>
      <c r="I28" s="96">
        <f t="shared" si="3"/>
        <v>0</v>
      </c>
    </row>
    <row r="29" spans="1:9" s="60" customFormat="1">
      <c r="A29" s="93"/>
      <c r="B29" s="28" t="s">
        <v>147</v>
      </c>
      <c r="C29" s="96">
        <v>928938.91134850506</v>
      </c>
      <c r="D29" s="96">
        <v>928938.91134850506</v>
      </c>
      <c r="E29" s="96">
        <f t="shared" si="1"/>
        <v>0</v>
      </c>
      <c r="F29" s="96">
        <v>0</v>
      </c>
      <c r="G29" s="96">
        <f t="shared" si="2"/>
        <v>0</v>
      </c>
      <c r="H29" s="96">
        <v>0</v>
      </c>
      <c r="I29" s="96">
        <f t="shared" si="3"/>
        <v>0</v>
      </c>
    </row>
    <row r="30" spans="1:9" s="60" customFormat="1">
      <c r="A30" s="93"/>
      <c r="B30" s="28" t="s">
        <v>148</v>
      </c>
      <c r="C30" s="96">
        <v>-625090.45724999998</v>
      </c>
      <c r="D30" s="96">
        <v>-532292.5067173735</v>
      </c>
      <c r="E30" s="96">
        <f t="shared" si="1"/>
        <v>-92797.950532626477</v>
      </c>
      <c r="F30" s="96">
        <v>0</v>
      </c>
      <c r="G30" s="96">
        <f t="shared" si="2"/>
        <v>-92797.950532626477</v>
      </c>
      <c r="H30" s="96">
        <v>0</v>
      </c>
      <c r="I30" s="96">
        <f t="shared" si="3"/>
        <v>-92797.950532626477</v>
      </c>
    </row>
    <row r="31" spans="1:9" s="60" customFormat="1">
      <c r="A31" s="93"/>
      <c r="B31" s="28" t="s">
        <v>194</v>
      </c>
      <c r="C31" s="96">
        <v>0</v>
      </c>
      <c r="D31" s="96">
        <v>0</v>
      </c>
      <c r="E31" s="96">
        <f t="shared" si="1"/>
        <v>0</v>
      </c>
      <c r="F31" s="96">
        <v>0</v>
      </c>
      <c r="G31" s="96">
        <f t="shared" si="2"/>
        <v>0</v>
      </c>
      <c r="H31" s="96">
        <v>0</v>
      </c>
      <c r="I31" s="96">
        <f t="shared" si="3"/>
        <v>0</v>
      </c>
    </row>
    <row r="32" spans="1:9" s="60" customFormat="1">
      <c r="A32" s="93"/>
      <c r="B32" s="28" t="s">
        <v>43</v>
      </c>
      <c r="C32" s="96">
        <v>4030598.7906450005</v>
      </c>
      <c r="D32" s="96">
        <v>3429191.3285203683</v>
      </c>
      <c r="E32" s="96">
        <f t="shared" si="1"/>
        <v>601407.46212463221</v>
      </c>
      <c r="F32" s="96">
        <v>0</v>
      </c>
      <c r="G32" s="96">
        <f t="shared" si="2"/>
        <v>601407.46212463221</v>
      </c>
      <c r="H32" s="96">
        <v>0</v>
      </c>
      <c r="I32" s="96">
        <f t="shared" si="3"/>
        <v>601407.46212463221</v>
      </c>
    </row>
    <row r="33" spans="1:9" s="60" customFormat="1">
      <c r="A33" s="93"/>
      <c r="B33" s="28" t="s">
        <v>197</v>
      </c>
      <c r="C33" s="96">
        <v>445201.722597046</v>
      </c>
      <c r="D33" s="96">
        <v>342805.36646011076</v>
      </c>
      <c r="E33" s="96">
        <f t="shared" si="1"/>
        <v>102396.35613693524</v>
      </c>
      <c r="F33" s="96">
        <v>0</v>
      </c>
      <c r="G33" s="96">
        <f t="shared" si="2"/>
        <v>102396.35613693524</v>
      </c>
      <c r="H33" s="96">
        <v>0</v>
      </c>
      <c r="I33" s="96">
        <f t="shared" si="3"/>
        <v>102396.35613693524</v>
      </c>
    </row>
    <row r="34" spans="1:9" s="60" customFormat="1">
      <c r="A34" s="93"/>
      <c r="B34" s="28" t="s">
        <v>149</v>
      </c>
      <c r="C34" s="96">
        <v>-367843.576512372</v>
      </c>
      <c r="D34" s="96">
        <v>-294201.29249459511</v>
      </c>
      <c r="E34" s="96">
        <f t="shared" si="1"/>
        <v>-73642.284017776896</v>
      </c>
      <c r="F34" s="96">
        <v>0</v>
      </c>
      <c r="G34" s="96">
        <f t="shared" si="2"/>
        <v>-73642.284017776896</v>
      </c>
      <c r="H34" s="96">
        <v>0</v>
      </c>
      <c r="I34" s="96">
        <f t="shared" si="3"/>
        <v>-73642.284017776896</v>
      </c>
    </row>
    <row r="35" spans="1:9" s="60" customFormat="1">
      <c r="A35" s="93"/>
      <c r="B35" s="28" t="s">
        <v>163</v>
      </c>
      <c r="C35" s="96">
        <v>0</v>
      </c>
      <c r="D35" s="96">
        <v>0</v>
      </c>
      <c r="E35" s="96">
        <f t="shared" si="1"/>
        <v>0</v>
      </c>
      <c r="F35" s="96">
        <v>0</v>
      </c>
      <c r="G35" s="96">
        <f t="shared" si="2"/>
        <v>0</v>
      </c>
      <c r="H35" s="96">
        <v>0</v>
      </c>
      <c r="I35" s="96">
        <f t="shared" si="3"/>
        <v>0</v>
      </c>
    </row>
    <row r="36" spans="1:9" s="60" customFormat="1">
      <c r="A36" s="93"/>
      <c r="B36" s="28" t="s">
        <v>164</v>
      </c>
      <c r="C36" s="96">
        <v>0</v>
      </c>
      <c r="D36" s="96">
        <v>0</v>
      </c>
      <c r="E36" s="96">
        <f t="shared" si="1"/>
        <v>0</v>
      </c>
      <c r="F36" s="96">
        <v>0</v>
      </c>
      <c r="G36" s="96">
        <f t="shared" si="2"/>
        <v>0</v>
      </c>
      <c r="H36" s="96">
        <v>0</v>
      </c>
      <c r="I36" s="96">
        <f t="shared" si="3"/>
        <v>0</v>
      </c>
    </row>
    <row r="37" spans="1:9" s="60" customFormat="1">
      <c r="A37" s="93"/>
      <c r="B37" s="28" t="s">
        <v>165</v>
      </c>
      <c r="C37" s="96">
        <v>0</v>
      </c>
      <c r="D37" s="96">
        <v>0</v>
      </c>
      <c r="E37" s="96">
        <f t="shared" si="1"/>
        <v>0</v>
      </c>
      <c r="F37" s="96">
        <v>0</v>
      </c>
      <c r="G37" s="96">
        <f t="shared" si="2"/>
        <v>0</v>
      </c>
      <c r="H37" s="96">
        <v>0</v>
      </c>
      <c r="I37" s="96">
        <f t="shared" si="3"/>
        <v>0</v>
      </c>
    </row>
    <row r="38" spans="1:9" s="60" customFormat="1">
      <c r="A38" s="93"/>
      <c r="B38" s="28" t="s">
        <v>150</v>
      </c>
      <c r="C38" s="96">
        <v>102938.0954330572</v>
      </c>
      <c r="D38" s="96">
        <v>82329.888727359154</v>
      </c>
      <c r="E38" s="96">
        <f t="shared" si="1"/>
        <v>20608.206705698045</v>
      </c>
      <c r="F38" s="96">
        <v>0</v>
      </c>
      <c r="G38" s="96">
        <f t="shared" si="2"/>
        <v>20608.206705698045</v>
      </c>
      <c r="H38" s="96">
        <v>0</v>
      </c>
      <c r="I38" s="96">
        <f t="shared" si="3"/>
        <v>20608.206705698045</v>
      </c>
    </row>
    <row r="39" spans="1:9" s="60" customFormat="1">
      <c r="A39" s="93"/>
      <c r="B39" s="28" t="s">
        <v>151</v>
      </c>
      <c r="C39" s="96">
        <v>-1552956.6151582699</v>
      </c>
      <c r="D39" s="96">
        <v>-1322181.0734814301</v>
      </c>
      <c r="E39" s="96">
        <f t="shared" si="1"/>
        <v>-230775.54167683981</v>
      </c>
      <c r="F39" s="96">
        <v>0</v>
      </c>
      <c r="G39" s="96">
        <f t="shared" si="2"/>
        <v>-230775.54167683981</v>
      </c>
      <c r="H39" s="96">
        <v>0</v>
      </c>
      <c r="I39" s="96">
        <f t="shared" si="3"/>
        <v>-230775.54167683981</v>
      </c>
    </row>
    <row r="40" spans="1:9">
      <c r="A40" s="93"/>
      <c r="B40" s="28" t="s">
        <v>152</v>
      </c>
      <c r="C40" s="96">
        <v>285958.40011616715</v>
      </c>
      <c r="D40" s="96">
        <v>228709.5284129105</v>
      </c>
      <c r="E40" s="96">
        <f t="shared" si="1"/>
        <v>57248.871703256649</v>
      </c>
      <c r="F40" s="96">
        <v>0</v>
      </c>
      <c r="G40" s="96">
        <f t="shared" si="2"/>
        <v>57248.871703256649</v>
      </c>
      <c r="H40" s="96">
        <v>0</v>
      </c>
      <c r="I40" s="96">
        <f t="shared" si="3"/>
        <v>57248.871703256649</v>
      </c>
    </row>
    <row r="41" spans="1:9">
      <c r="A41" s="93"/>
      <c r="B41" s="28" t="s">
        <v>153</v>
      </c>
      <c r="C41" s="96">
        <v>-477091.47492096893</v>
      </c>
      <c r="D41" s="96">
        <v>-381577.76164179092</v>
      </c>
      <c r="E41" s="96">
        <f t="shared" si="1"/>
        <v>-95513.713279178017</v>
      </c>
      <c r="F41" s="96">
        <v>0</v>
      </c>
      <c r="G41" s="96">
        <f t="shared" si="2"/>
        <v>-95513.713279178017</v>
      </c>
      <c r="H41" s="96">
        <v>0</v>
      </c>
      <c r="I41" s="96">
        <f t="shared" si="3"/>
        <v>-95513.713279178017</v>
      </c>
    </row>
    <row r="42" spans="1:9" s="60" customFormat="1">
      <c r="A42" s="93"/>
      <c r="B42" s="95" t="s">
        <v>251</v>
      </c>
      <c r="C42" s="96">
        <v>0</v>
      </c>
      <c r="D42" s="96">
        <v>0</v>
      </c>
      <c r="E42" s="96">
        <f t="shared" si="1"/>
        <v>0</v>
      </c>
      <c r="F42" s="96">
        <v>0</v>
      </c>
      <c r="G42" s="96">
        <f t="shared" si="2"/>
        <v>0</v>
      </c>
      <c r="H42" s="96">
        <v>0</v>
      </c>
      <c r="I42" s="96">
        <f t="shared" si="3"/>
        <v>0</v>
      </c>
    </row>
    <row r="43" spans="1:9" s="60" customFormat="1">
      <c r="A43" s="93"/>
      <c r="B43" s="95" t="s">
        <v>252</v>
      </c>
      <c r="C43" s="96">
        <v>0</v>
      </c>
      <c r="D43" s="96">
        <v>0</v>
      </c>
      <c r="E43" s="96">
        <f t="shared" si="1"/>
        <v>0</v>
      </c>
      <c r="F43" s="96">
        <v>0</v>
      </c>
      <c r="G43" s="96">
        <f t="shared" si="2"/>
        <v>0</v>
      </c>
      <c r="H43" s="96">
        <v>0</v>
      </c>
      <c r="I43" s="96">
        <f t="shared" si="3"/>
        <v>0</v>
      </c>
    </row>
    <row r="44" spans="1:9">
      <c r="A44" s="93"/>
      <c r="B44" s="95" t="s">
        <v>154</v>
      </c>
      <c r="C44" s="96">
        <v>0</v>
      </c>
      <c r="D44" s="96">
        <v>0</v>
      </c>
      <c r="E44" s="96">
        <f t="shared" si="1"/>
        <v>0</v>
      </c>
      <c r="F44" s="96">
        <v>0</v>
      </c>
      <c r="G44" s="96">
        <f t="shared" si="2"/>
        <v>0</v>
      </c>
      <c r="H44" s="96">
        <v>0</v>
      </c>
      <c r="I44" s="96">
        <f t="shared" si="3"/>
        <v>0</v>
      </c>
    </row>
    <row r="45" spans="1:9" s="93" customFormat="1">
      <c r="B45" s="95" t="s">
        <v>199</v>
      </c>
      <c r="C45" s="96">
        <v>-121260.0937543412</v>
      </c>
      <c r="D45" s="96">
        <v>-121260.0937543412</v>
      </c>
      <c r="E45" s="96">
        <f t="shared" si="1"/>
        <v>0</v>
      </c>
      <c r="F45" s="96">
        <v>0</v>
      </c>
      <c r="G45" s="96">
        <f>+E45-F45</f>
        <v>0</v>
      </c>
      <c r="H45" s="96">
        <v>0</v>
      </c>
      <c r="I45" s="96">
        <f t="shared" si="3"/>
        <v>0</v>
      </c>
    </row>
    <row r="46" spans="1:9" s="60" customFormat="1">
      <c r="A46" s="93"/>
      <c r="B46" s="95" t="s">
        <v>155</v>
      </c>
      <c r="C46" s="96">
        <v>0</v>
      </c>
      <c r="D46" s="96">
        <v>0</v>
      </c>
      <c r="E46" s="96">
        <f t="shared" si="1"/>
        <v>0</v>
      </c>
      <c r="F46" s="96">
        <v>0</v>
      </c>
      <c r="G46" s="96">
        <f t="shared" si="2"/>
        <v>0</v>
      </c>
      <c r="H46" s="96">
        <v>0</v>
      </c>
      <c r="I46" s="96">
        <f t="shared" si="3"/>
        <v>0</v>
      </c>
    </row>
    <row r="47" spans="1:9">
      <c r="A47" s="93"/>
      <c r="B47" s="95" t="s">
        <v>156</v>
      </c>
      <c r="C47" s="96">
        <v>-309092.53606272803</v>
      </c>
      <c r="D47" s="96">
        <v>0</v>
      </c>
      <c r="E47" s="96">
        <f t="shared" si="1"/>
        <v>-309092.53606272803</v>
      </c>
      <c r="F47" s="96">
        <v>0</v>
      </c>
      <c r="G47" s="96">
        <f t="shared" si="2"/>
        <v>-309092.53606272803</v>
      </c>
      <c r="H47" s="96">
        <v>0</v>
      </c>
      <c r="I47" s="96">
        <f t="shared" si="3"/>
        <v>-309092.53606272803</v>
      </c>
    </row>
    <row r="48" spans="1:9" s="60" customFormat="1">
      <c r="A48" s="93"/>
      <c r="B48" s="95" t="s">
        <v>157</v>
      </c>
      <c r="C48" s="96">
        <v>-19935.706822500008</v>
      </c>
      <c r="D48" s="96">
        <v>-19935.706822500008</v>
      </c>
      <c r="E48" s="96">
        <f t="shared" si="1"/>
        <v>0</v>
      </c>
      <c r="F48" s="96">
        <v>0</v>
      </c>
      <c r="G48" s="96">
        <f t="shared" si="2"/>
        <v>0</v>
      </c>
      <c r="H48" s="96">
        <v>0</v>
      </c>
      <c r="I48" s="96">
        <f t="shared" si="3"/>
        <v>0</v>
      </c>
    </row>
    <row r="49" spans="1:9" s="60" customFormat="1">
      <c r="A49" s="93"/>
      <c r="B49" s="95" t="s">
        <v>195</v>
      </c>
      <c r="C49" s="96">
        <v>202448.48321774992</v>
      </c>
      <c r="D49" s="96">
        <v>202448.48321774992</v>
      </c>
      <c r="E49" s="96">
        <f t="shared" si="1"/>
        <v>0</v>
      </c>
      <c r="F49" s="96">
        <v>0</v>
      </c>
      <c r="G49" s="96">
        <f t="shared" si="2"/>
        <v>0</v>
      </c>
      <c r="H49" s="96">
        <v>0</v>
      </c>
      <c r="I49" s="96">
        <f t="shared" si="3"/>
        <v>0</v>
      </c>
    </row>
    <row r="50" spans="1:9" s="60" customFormat="1">
      <c r="A50" s="93"/>
      <c r="B50" s="95" t="s">
        <v>46</v>
      </c>
      <c r="C50" s="96">
        <v>-42898.621454600405</v>
      </c>
      <c r="D50" s="96">
        <v>-34310.317439389401</v>
      </c>
      <c r="E50" s="96">
        <f t="shared" si="1"/>
        <v>-8588.3040152110043</v>
      </c>
      <c r="F50" s="96">
        <v>0</v>
      </c>
      <c r="G50" s="96">
        <f t="shared" si="2"/>
        <v>-8588.3040152110043</v>
      </c>
      <c r="H50" s="96">
        <v>0</v>
      </c>
      <c r="I50" s="96">
        <f t="shared" si="3"/>
        <v>-8588.3040152110043</v>
      </c>
    </row>
    <row r="51" spans="1:9" s="60" customFormat="1">
      <c r="A51" s="93"/>
      <c r="B51" s="95" t="s">
        <v>124</v>
      </c>
      <c r="C51" s="96">
        <v>-189048.00347999987</v>
      </c>
      <c r="D51" s="96">
        <v>-189048.00347999987</v>
      </c>
      <c r="E51" s="96">
        <f t="shared" si="1"/>
        <v>0</v>
      </c>
      <c r="F51" s="96">
        <v>0</v>
      </c>
      <c r="G51" s="96">
        <f t="shared" si="2"/>
        <v>0</v>
      </c>
      <c r="H51" s="96">
        <v>0</v>
      </c>
      <c r="I51" s="96">
        <f t="shared" si="3"/>
        <v>0</v>
      </c>
    </row>
    <row r="52" spans="1:9" s="60" customFormat="1">
      <c r="A52" s="93"/>
      <c r="B52" s="95" t="s">
        <v>166</v>
      </c>
      <c r="C52" s="96">
        <f>54795808.699145-1</f>
        <v>54795807.699144997</v>
      </c>
      <c r="D52" s="96">
        <v>42195249.937411413</v>
      </c>
      <c r="E52" s="96">
        <f t="shared" si="1"/>
        <v>12600557.761733584</v>
      </c>
      <c r="F52" s="96">
        <v>0</v>
      </c>
      <c r="G52" s="96">
        <f t="shared" si="2"/>
        <v>12600557.761733584</v>
      </c>
      <c r="H52" s="96">
        <v>0</v>
      </c>
      <c r="I52" s="96">
        <f t="shared" si="3"/>
        <v>12600557.761733584</v>
      </c>
    </row>
    <row r="53" spans="1:9" s="60" customFormat="1">
      <c r="A53" s="93"/>
      <c r="B53" s="28" t="s">
        <v>196</v>
      </c>
      <c r="C53" s="96">
        <v>587227.82789999992</v>
      </c>
      <c r="D53" s="96">
        <v>454773.16592557437</v>
      </c>
      <c r="E53" s="96">
        <f t="shared" si="1"/>
        <v>132454.66197442554</v>
      </c>
      <c r="F53" s="96">
        <v>0</v>
      </c>
      <c r="G53" s="96">
        <f t="shared" si="2"/>
        <v>132454.66197442554</v>
      </c>
      <c r="H53" s="96">
        <v>0</v>
      </c>
      <c r="I53" s="96">
        <f t="shared" si="3"/>
        <v>132454.66197442554</v>
      </c>
    </row>
    <row r="54" spans="1:9" s="60" customFormat="1">
      <c r="A54" s="93"/>
      <c r="B54" s="95" t="s">
        <v>167</v>
      </c>
      <c r="C54" s="97">
        <v>6463376.2899300009</v>
      </c>
      <c r="D54" s="97">
        <v>5507318.1438759556</v>
      </c>
      <c r="E54" s="97">
        <f t="shared" si="1"/>
        <v>956058.1460540453</v>
      </c>
      <c r="F54" s="97">
        <v>0</v>
      </c>
      <c r="G54" s="97">
        <f t="shared" si="2"/>
        <v>956058.1460540453</v>
      </c>
      <c r="H54" s="97">
        <v>0</v>
      </c>
      <c r="I54" s="97">
        <f t="shared" si="3"/>
        <v>956058.1460540453</v>
      </c>
    </row>
    <row r="55" spans="1:9" s="60" customFormat="1">
      <c r="A55" s="88" t="s">
        <v>72</v>
      </c>
      <c r="B55" s="88"/>
      <c r="C55" s="96">
        <f t="shared" ref="C55:I55" si="4">SUM(C17:C54)</f>
        <v>1574915.5910311788</v>
      </c>
      <c r="D55" s="96">
        <f t="shared" si="4"/>
        <v>-2471530.60763615</v>
      </c>
      <c r="E55" s="96">
        <f t="shared" si="4"/>
        <v>4046446.198667299</v>
      </c>
      <c r="F55" s="96">
        <f t="shared" si="4"/>
        <v>0</v>
      </c>
      <c r="G55" s="96">
        <f t="shared" si="4"/>
        <v>4046446.198667299</v>
      </c>
      <c r="H55" s="96">
        <f t="shared" si="4"/>
        <v>56797.878002618527</v>
      </c>
      <c r="I55" s="96">
        <f t="shared" si="4"/>
        <v>3989648.3206646796</v>
      </c>
    </row>
    <row r="56" spans="1:9" s="60" customFormat="1">
      <c r="A56" s="88" t="s">
        <v>73</v>
      </c>
      <c r="B56" s="88"/>
      <c r="C56" s="96"/>
      <c r="D56" s="96"/>
      <c r="E56" s="96"/>
      <c r="F56" s="96"/>
      <c r="G56" s="96"/>
      <c r="H56" s="96"/>
      <c r="I56" s="96"/>
    </row>
    <row r="57" spans="1:9" s="60" customFormat="1">
      <c r="A57" s="88"/>
      <c r="B57" s="95" t="s">
        <v>127</v>
      </c>
      <c r="C57" s="96">
        <v>0</v>
      </c>
      <c r="D57" s="96">
        <v>0</v>
      </c>
      <c r="E57" s="96">
        <f t="shared" ref="E57:E61" si="5">C57-D57</f>
        <v>0</v>
      </c>
      <c r="F57" s="96">
        <v>0</v>
      </c>
      <c r="G57" s="96">
        <f t="shared" ref="G57:G61" si="6">+E57-F57</f>
        <v>0</v>
      </c>
      <c r="H57" s="96">
        <v>0</v>
      </c>
      <c r="I57" s="96">
        <f t="shared" ref="I57:I61" si="7">+G57-H57</f>
        <v>0</v>
      </c>
    </row>
    <row r="58" spans="1:9" s="60" customFormat="1">
      <c r="A58" s="93"/>
      <c r="B58" s="95" t="s">
        <v>253</v>
      </c>
      <c r="C58" s="96">
        <v>-15335093.668011421</v>
      </c>
      <c r="D58" s="96">
        <v>-13979859.599567553</v>
      </c>
      <c r="E58" s="96">
        <f t="shared" si="5"/>
        <v>-1355234.0684438683</v>
      </c>
      <c r="F58" s="96">
        <v>0</v>
      </c>
      <c r="G58" s="96">
        <f t="shared" si="6"/>
        <v>-1355234.0684438683</v>
      </c>
      <c r="H58" s="96">
        <f>ExcessADIT!AE48</f>
        <v>-856.61382943564206</v>
      </c>
      <c r="I58" s="96">
        <f t="shared" si="7"/>
        <v>-1354377.4546144328</v>
      </c>
    </row>
    <row r="59" spans="1:9" s="60" customFormat="1">
      <c r="A59" s="93"/>
      <c r="B59" s="87" t="s">
        <v>209</v>
      </c>
      <c r="C59" s="96">
        <v>-15719842.101988621</v>
      </c>
      <c r="D59" s="96">
        <v>-13820124.220432431</v>
      </c>
      <c r="E59" s="96">
        <f t="shared" si="5"/>
        <v>-1899717.8815561906</v>
      </c>
      <c r="F59" s="96">
        <v>0</v>
      </c>
      <c r="G59" s="96">
        <f t="shared" si="6"/>
        <v>-1899717.8815561906</v>
      </c>
      <c r="H59" s="96">
        <v>-1899717.8815561906</v>
      </c>
      <c r="I59" s="96">
        <f t="shared" si="7"/>
        <v>0</v>
      </c>
    </row>
    <row r="60" spans="1:9" s="60" customFormat="1">
      <c r="A60" s="93"/>
      <c r="B60" s="87" t="s">
        <v>74</v>
      </c>
      <c r="C60" s="96">
        <v>103764.15</v>
      </c>
      <c r="D60" s="96">
        <v>103764.15</v>
      </c>
      <c r="E60" s="96">
        <f t="shared" si="5"/>
        <v>0</v>
      </c>
      <c r="F60" s="96">
        <v>0</v>
      </c>
      <c r="G60" s="96">
        <f t="shared" si="6"/>
        <v>0</v>
      </c>
      <c r="H60" s="96">
        <v>0</v>
      </c>
      <c r="I60" s="96">
        <f t="shared" si="7"/>
        <v>0</v>
      </c>
    </row>
    <row r="61" spans="1:9" s="60" customFormat="1">
      <c r="A61" s="93"/>
      <c r="B61" s="98" t="s">
        <v>14</v>
      </c>
      <c r="C61" s="96">
        <v>0</v>
      </c>
      <c r="D61" s="96">
        <v>0</v>
      </c>
      <c r="E61" s="96">
        <f t="shared" si="5"/>
        <v>0</v>
      </c>
      <c r="F61" s="96">
        <v>0</v>
      </c>
      <c r="G61" s="96">
        <f t="shared" si="6"/>
        <v>0</v>
      </c>
      <c r="H61" s="96">
        <v>0</v>
      </c>
      <c r="I61" s="96">
        <f t="shared" si="7"/>
        <v>0</v>
      </c>
    </row>
    <row r="62" spans="1:9" s="60" customFormat="1" ht="13.5" thickBot="1">
      <c r="A62" s="88" t="s">
        <v>75</v>
      </c>
      <c r="B62" s="99"/>
      <c r="C62" s="100">
        <f t="shared" ref="C62:I62" si="8">SUM(C55:C61)</f>
        <v>-29376256.028968863</v>
      </c>
      <c r="D62" s="100">
        <f t="shared" si="8"/>
        <v>-30167750.277636133</v>
      </c>
      <c r="E62" s="100">
        <f t="shared" si="8"/>
        <v>791494.24866724014</v>
      </c>
      <c r="F62" s="100">
        <f t="shared" si="8"/>
        <v>0</v>
      </c>
      <c r="G62" s="100">
        <f t="shared" si="8"/>
        <v>791494.24866724014</v>
      </c>
      <c r="H62" s="100">
        <f t="shared" si="8"/>
        <v>-1843776.6173830077</v>
      </c>
      <c r="I62" s="100">
        <f t="shared" si="8"/>
        <v>2635270.8660502471</v>
      </c>
    </row>
    <row r="63" spans="1:9" s="60" customFormat="1" ht="13.5" thickTop="1">
      <c r="A63" s="88"/>
      <c r="B63" s="58"/>
      <c r="C63" s="58"/>
      <c r="D63" s="58"/>
      <c r="E63" s="58"/>
      <c r="F63" s="58"/>
      <c r="G63" s="58"/>
      <c r="H63" s="58"/>
      <c r="I63" s="58"/>
    </row>
    <row r="64" spans="1:9" s="60" customFormat="1">
      <c r="A64" s="88" t="s">
        <v>76</v>
      </c>
      <c r="B64" s="88"/>
      <c r="C64" s="92"/>
      <c r="D64" s="92"/>
      <c r="E64" s="92"/>
      <c r="F64" s="92"/>
      <c r="G64" s="92"/>
      <c r="H64" s="92"/>
      <c r="I64" s="92"/>
    </row>
    <row r="65" spans="1:10" s="60" customFormat="1">
      <c r="A65" s="88"/>
      <c r="B65" s="28" t="s">
        <v>142</v>
      </c>
      <c r="C65" s="96">
        <v>-16976.199999999997</v>
      </c>
      <c r="D65" s="96">
        <v>-16976.199999999997</v>
      </c>
      <c r="E65" s="96">
        <f t="shared" ref="E65:E101" si="9">C65-D65</f>
        <v>0</v>
      </c>
      <c r="F65" s="96">
        <v>0</v>
      </c>
      <c r="G65" s="96">
        <f t="shared" ref="G65:G101" si="10">+E65-F65</f>
        <v>0</v>
      </c>
      <c r="H65" s="96">
        <v>0</v>
      </c>
      <c r="I65" s="96">
        <f t="shared" ref="I65:I101" si="11">+G65-H65</f>
        <v>0</v>
      </c>
    </row>
    <row r="66" spans="1:10" s="60" customFormat="1">
      <c r="A66" s="93"/>
      <c r="B66" s="28" t="s">
        <v>143</v>
      </c>
      <c r="C66" s="96">
        <v>-31614.227249999996</v>
      </c>
      <c r="D66" s="92">
        <v>-31279.986617759296</v>
      </c>
      <c r="E66" s="96">
        <f t="shared" si="9"/>
        <v>-334.24063224070051</v>
      </c>
      <c r="F66" s="96">
        <v>0</v>
      </c>
      <c r="G66" s="96">
        <f t="shared" si="10"/>
        <v>-334.24063224070051</v>
      </c>
      <c r="H66" s="96">
        <v>0</v>
      </c>
      <c r="I66" s="96">
        <f t="shared" si="11"/>
        <v>-334.24063224070051</v>
      </c>
    </row>
    <row r="67" spans="1:10" s="60" customFormat="1">
      <c r="A67" s="93"/>
      <c r="B67" s="28" t="s">
        <v>144</v>
      </c>
      <c r="C67" s="96">
        <v>3871.2132499999993</v>
      </c>
      <c r="D67" s="92">
        <v>3871.2132499999993</v>
      </c>
      <c r="E67" s="96">
        <f t="shared" si="9"/>
        <v>0</v>
      </c>
      <c r="F67" s="96">
        <v>0</v>
      </c>
      <c r="G67" s="96">
        <f t="shared" si="10"/>
        <v>0</v>
      </c>
      <c r="H67" s="96">
        <v>0</v>
      </c>
      <c r="I67" s="96">
        <f t="shared" si="11"/>
        <v>0</v>
      </c>
    </row>
    <row r="68" spans="1:10" s="60" customFormat="1">
      <c r="A68" s="93"/>
      <c r="B68" s="28" t="s">
        <v>161</v>
      </c>
      <c r="C68" s="96">
        <v>-12315.239999999994</v>
      </c>
      <c r="D68" s="92">
        <v>-12315.239999999994</v>
      </c>
      <c r="E68" s="96">
        <f t="shared" si="9"/>
        <v>0</v>
      </c>
      <c r="F68" s="96">
        <v>0</v>
      </c>
      <c r="G68" s="96">
        <f t="shared" si="10"/>
        <v>0</v>
      </c>
      <c r="H68" s="96">
        <v>0</v>
      </c>
      <c r="I68" s="96">
        <f t="shared" si="11"/>
        <v>0</v>
      </c>
    </row>
    <row r="69" spans="1:10" s="60" customFormat="1">
      <c r="A69" s="93"/>
      <c r="B69" s="28" t="s">
        <v>207</v>
      </c>
      <c r="C69" s="96">
        <v>-24390.150300000052</v>
      </c>
      <c r="D69" s="92">
        <v>-24390.150300000052</v>
      </c>
      <c r="E69" s="96">
        <f t="shared" si="9"/>
        <v>0</v>
      </c>
      <c r="F69" s="96">
        <v>0</v>
      </c>
      <c r="G69" s="96">
        <f t="shared" si="10"/>
        <v>0</v>
      </c>
      <c r="H69" s="96">
        <v>0</v>
      </c>
      <c r="I69" s="96">
        <f t="shared" si="11"/>
        <v>0</v>
      </c>
    </row>
    <row r="70" spans="1:10" s="60" customFormat="1">
      <c r="A70" s="93"/>
      <c r="B70" s="28" t="s">
        <v>198</v>
      </c>
      <c r="C70" s="96">
        <v>0</v>
      </c>
      <c r="D70" s="92">
        <v>0</v>
      </c>
      <c r="E70" s="96">
        <f t="shared" si="9"/>
        <v>0</v>
      </c>
      <c r="F70" s="96">
        <v>0</v>
      </c>
      <c r="G70" s="96">
        <f t="shared" si="10"/>
        <v>0</v>
      </c>
      <c r="H70" s="96">
        <v>0</v>
      </c>
      <c r="I70" s="96">
        <f t="shared" si="11"/>
        <v>0</v>
      </c>
    </row>
    <row r="71" spans="1:10" s="60" customFormat="1">
      <c r="A71" s="93"/>
      <c r="B71" s="28" t="s">
        <v>218</v>
      </c>
      <c r="C71" s="96">
        <v>7672.9930312869301</v>
      </c>
      <c r="D71" s="92">
        <v>5519.1358877735147</v>
      </c>
      <c r="E71" s="96">
        <f t="shared" si="9"/>
        <v>2153.8571435134154</v>
      </c>
      <c r="F71" s="96">
        <v>0</v>
      </c>
      <c r="G71" s="96">
        <f t="shared" si="10"/>
        <v>2153.8571435134154</v>
      </c>
      <c r="H71" s="96">
        <v>2153.8571435134127</v>
      </c>
      <c r="I71" s="96">
        <f t="shared" si="11"/>
        <v>0</v>
      </c>
    </row>
    <row r="72" spans="1:10" s="60" customFormat="1">
      <c r="A72" s="93"/>
      <c r="B72" s="28" t="s">
        <v>145</v>
      </c>
      <c r="C72" s="96">
        <v>-53133.7397018353</v>
      </c>
      <c r="D72" s="92">
        <v>-42496.365013527873</v>
      </c>
      <c r="E72" s="96">
        <f t="shared" si="9"/>
        <v>-10637.374688307427</v>
      </c>
      <c r="F72" s="96">
        <v>0</v>
      </c>
      <c r="G72" s="96">
        <f t="shared" si="10"/>
        <v>-10637.374688307427</v>
      </c>
      <c r="H72" s="96">
        <v>0</v>
      </c>
      <c r="I72" s="96">
        <f t="shared" si="11"/>
        <v>-10637.374688307427</v>
      </c>
    </row>
    <row r="73" spans="1:10">
      <c r="A73" s="93"/>
      <c r="B73" s="28" t="s">
        <v>219</v>
      </c>
      <c r="C73" s="96">
        <v>65706.999999999505</v>
      </c>
      <c r="D73" s="92">
        <v>53625.799999999552</v>
      </c>
      <c r="E73" s="96">
        <f t="shared" si="9"/>
        <v>12081.199999999953</v>
      </c>
      <c r="F73" s="96">
        <v>0</v>
      </c>
      <c r="G73" s="96">
        <f t="shared" si="10"/>
        <v>12081.199999999953</v>
      </c>
      <c r="H73" s="96">
        <v>12081.200000000004</v>
      </c>
      <c r="I73" s="96">
        <f t="shared" si="11"/>
        <v>-5.0931703299283981E-11</v>
      </c>
    </row>
    <row r="74" spans="1:10" s="60" customFormat="1">
      <c r="A74" s="93"/>
      <c r="B74" s="28" t="s">
        <v>162</v>
      </c>
      <c r="C74" s="96">
        <v>-16337288.394813711</v>
      </c>
      <c r="D74" s="92">
        <v>-13924532.487281242</v>
      </c>
      <c r="E74" s="96">
        <f t="shared" si="9"/>
        <v>-2412755.9075324684</v>
      </c>
      <c r="F74" s="96">
        <v>0</v>
      </c>
      <c r="G74" s="96">
        <f t="shared" si="10"/>
        <v>-2412755.9075324684</v>
      </c>
      <c r="H74" s="96">
        <v>0</v>
      </c>
      <c r="I74" s="96">
        <f t="shared" si="11"/>
        <v>-2412755.9075324684</v>
      </c>
    </row>
    <row r="75" spans="1:10" s="60" customFormat="1">
      <c r="A75" s="93"/>
      <c r="B75" s="28" t="s">
        <v>246</v>
      </c>
      <c r="C75" s="96">
        <v>718676.38390817621</v>
      </c>
      <c r="D75" s="92">
        <v>718676.38390817621</v>
      </c>
      <c r="E75" s="96">
        <f t="shared" si="9"/>
        <v>0</v>
      </c>
      <c r="F75" s="96">
        <v>0</v>
      </c>
      <c r="G75" s="96">
        <f t="shared" si="10"/>
        <v>0</v>
      </c>
      <c r="H75" s="96">
        <v>0</v>
      </c>
      <c r="I75" s="96">
        <f t="shared" si="11"/>
        <v>0</v>
      </c>
    </row>
    <row r="76" spans="1:10">
      <c r="A76" s="93"/>
      <c r="B76" s="28" t="s">
        <v>147</v>
      </c>
      <c r="C76" s="96">
        <v>232816.7697615301</v>
      </c>
      <c r="D76" s="92">
        <v>232816.7697615301</v>
      </c>
      <c r="E76" s="96">
        <f t="shared" si="9"/>
        <v>0</v>
      </c>
      <c r="F76" s="96">
        <v>0</v>
      </c>
      <c r="G76" s="96">
        <f t="shared" si="10"/>
        <v>0</v>
      </c>
      <c r="H76" s="96">
        <v>0</v>
      </c>
      <c r="I76" s="96">
        <f t="shared" si="11"/>
        <v>0</v>
      </c>
    </row>
    <row r="77" spans="1:10">
      <c r="A77" s="93"/>
      <c r="B77" s="28" t="s">
        <v>148</v>
      </c>
      <c r="C77" s="96">
        <v>-156664.27499999999</v>
      </c>
      <c r="D77" s="92">
        <v>-133406.6432875623</v>
      </c>
      <c r="E77" s="96">
        <f t="shared" si="9"/>
        <v>-23257.631712437695</v>
      </c>
      <c r="F77" s="96">
        <v>0</v>
      </c>
      <c r="G77" s="96">
        <f t="shared" si="10"/>
        <v>-23257.631712437695</v>
      </c>
      <c r="H77" s="96">
        <v>0</v>
      </c>
      <c r="I77" s="96">
        <f t="shared" si="11"/>
        <v>-23257.631712437695</v>
      </c>
    </row>
    <row r="78" spans="1:10">
      <c r="A78" s="93"/>
      <c r="B78" s="28" t="s">
        <v>194</v>
      </c>
      <c r="C78" s="96">
        <v>0</v>
      </c>
      <c r="D78" s="92">
        <v>0</v>
      </c>
      <c r="E78" s="96">
        <f t="shared" si="9"/>
        <v>0</v>
      </c>
      <c r="F78" s="96">
        <v>0</v>
      </c>
      <c r="G78" s="96">
        <f t="shared" si="10"/>
        <v>0</v>
      </c>
      <c r="H78" s="96">
        <v>0</v>
      </c>
      <c r="I78" s="96">
        <f t="shared" si="11"/>
        <v>0</v>
      </c>
    </row>
    <row r="79" spans="1:10">
      <c r="A79" s="93"/>
      <c r="B79" s="28" t="s">
        <v>43</v>
      </c>
      <c r="C79" s="96">
        <v>1010175.1355000001</v>
      </c>
      <c r="D79" s="92">
        <v>859446.44825071888</v>
      </c>
      <c r="E79" s="96">
        <f t="shared" si="9"/>
        <v>150728.68724928121</v>
      </c>
      <c r="F79" s="96">
        <v>0</v>
      </c>
      <c r="G79" s="96">
        <f t="shared" si="10"/>
        <v>150728.68724928121</v>
      </c>
      <c r="H79" s="96">
        <v>0</v>
      </c>
      <c r="I79" s="96">
        <f t="shared" si="11"/>
        <v>150728.68724928121</v>
      </c>
      <c r="J79" s="34"/>
    </row>
    <row r="80" spans="1:10">
      <c r="A80" s="93"/>
      <c r="B80" s="28" t="s">
        <v>197</v>
      </c>
      <c r="C80" s="96">
        <v>111579.37909700401</v>
      </c>
      <c r="D80" s="92">
        <v>85916.131944889916</v>
      </c>
      <c r="E80" s="96">
        <f t="shared" si="9"/>
        <v>25663.247152114098</v>
      </c>
      <c r="F80" s="96">
        <v>0</v>
      </c>
      <c r="G80" s="96">
        <f t="shared" si="10"/>
        <v>25663.247152114098</v>
      </c>
      <c r="H80" s="96">
        <v>0</v>
      </c>
      <c r="I80" s="96">
        <f t="shared" si="11"/>
        <v>25663.247152114098</v>
      </c>
      <c r="J80" s="34"/>
    </row>
    <row r="81" spans="1:10">
      <c r="A81" s="93"/>
      <c r="B81" s="28" t="s">
        <v>149</v>
      </c>
      <c r="C81" s="96">
        <v>-92191.37255949172</v>
      </c>
      <c r="D81" s="92">
        <v>-73734.659773081468</v>
      </c>
      <c r="E81" s="96">
        <f t="shared" si="9"/>
        <v>-18456.712786410251</v>
      </c>
      <c r="F81" s="96">
        <v>0</v>
      </c>
      <c r="G81" s="96">
        <f t="shared" si="10"/>
        <v>-18456.712786410251</v>
      </c>
      <c r="H81" s="96">
        <v>0</v>
      </c>
      <c r="I81" s="96">
        <f t="shared" si="11"/>
        <v>-18456.712786410251</v>
      </c>
      <c r="J81" s="34"/>
    </row>
    <row r="82" spans="1:10">
      <c r="A82" s="93"/>
      <c r="B82" s="28" t="s">
        <v>163</v>
      </c>
      <c r="C82" s="96">
        <v>0</v>
      </c>
      <c r="D82" s="92">
        <v>0</v>
      </c>
      <c r="E82" s="96">
        <f t="shared" si="9"/>
        <v>0</v>
      </c>
      <c r="F82" s="96">
        <v>0</v>
      </c>
      <c r="G82" s="96">
        <f t="shared" si="10"/>
        <v>0</v>
      </c>
      <c r="H82" s="96">
        <v>0</v>
      </c>
      <c r="I82" s="96">
        <f t="shared" si="11"/>
        <v>0</v>
      </c>
      <c r="J82" s="34"/>
    </row>
    <row r="83" spans="1:10">
      <c r="A83" s="93"/>
      <c r="B83" s="28" t="s">
        <v>164</v>
      </c>
      <c r="C83" s="96">
        <v>0</v>
      </c>
      <c r="D83" s="92">
        <v>0</v>
      </c>
      <c r="E83" s="96">
        <f t="shared" si="9"/>
        <v>0</v>
      </c>
      <c r="F83" s="96">
        <v>0</v>
      </c>
      <c r="G83" s="96">
        <f t="shared" si="10"/>
        <v>0</v>
      </c>
      <c r="H83" s="96">
        <v>0</v>
      </c>
      <c r="I83" s="96">
        <f t="shared" si="11"/>
        <v>0</v>
      </c>
      <c r="J83" s="34"/>
    </row>
    <row r="84" spans="1:10">
      <c r="A84" s="93"/>
      <c r="B84" s="28" t="s">
        <v>165</v>
      </c>
      <c r="C84" s="96">
        <v>0</v>
      </c>
      <c r="D84" s="92">
        <v>0</v>
      </c>
      <c r="E84" s="96">
        <f t="shared" si="9"/>
        <v>0</v>
      </c>
      <c r="F84" s="96">
        <v>0</v>
      </c>
      <c r="G84" s="96">
        <f t="shared" si="10"/>
        <v>0</v>
      </c>
      <c r="H84" s="96">
        <v>0</v>
      </c>
      <c r="I84" s="96">
        <f t="shared" si="11"/>
        <v>0</v>
      </c>
      <c r="J84" s="34"/>
    </row>
    <row r="85" spans="1:10">
      <c r="A85" s="93"/>
      <c r="B85" s="28" t="s">
        <v>150</v>
      </c>
      <c r="C85" s="96">
        <v>25799.021411793787</v>
      </c>
      <c r="D85" s="92">
        <v>20634.057325152673</v>
      </c>
      <c r="E85" s="96">
        <f t="shared" si="9"/>
        <v>5164.9640866411137</v>
      </c>
      <c r="F85" s="96">
        <v>0</v>
      </c>
      <c r="G85" s="96">
        <f t="shared" si="10"/>
        <v>5164.9640866411137</v>
      </c>
      <c r="H85" s="96">
        <v>0</v>
      </c>
      <c r="I85" s="96">
        <f t="shared" si="11"/>
        <v>5164.9640866411137</v>
      </c>
      <c r="J85" s="34"/>
    </row>
    <row r="86" spans="1:10">
      <c r="A86" s="93"/>
      <c r="B86" s="28" t="s">
        <v>151</v>
      </c>
      <c r="C86" s="96">
        <v>-389212.18425019295</v>
      </c>
      <c r="D86" s="92">
        <v>-331373.70262692485</v>
      </c>
      <c r="E86" s="96">
        <f t="shared" si="9"/>
        <v>-57838.481623268104</v>
      </c>
      <c r="F86" s="96">
        <v>0</v>
      </c>
      <c r="G86" s="96">
        <f t="shared" si="10"/>
        <v>-57838.481623268104</v>
      </c>
      <c r="H86" s="96">
        <v>0</v>
      </c>
      <c r="I86" s="96">
        <f t="shared" si="11"/>
        <v>-57838.481623268104</v>
      </c>
      <c r="J86" s="34"/>
    </row>
    <row r="87" spans="1:10">
      <c r="A87" s="93"/>
      <c r="B87" s="28" t="s">
        <v>152</v>
      </c>
      <c r="C87" s="96">
        <v>71668.771958939134</v>
      </c>
      <c r="D87" s="92">
        <v>57320.683812759526</v>
      </c>
      <c r="E87" s="96">
        <f t="shared" si="9"/>
        <v>14348.088146179609</v>
      </c>
      <c r="F87" s="96">
        <v>0</v>
      </c>
      <c r="G87" s="96">
        <f t="shared" si="10"/>
        <v>14348.088146179609</v>
      </c>
      <c r="H87" s="96">
        <v>0</v>
      </c>
      <c r="I87" s="96">
        <f t="shared" si="11"/>
        <v>14348.088146179609</v>
      </c>
      <c r="J87" s="34"/>
    </row>
    <row r="88" spans="1:10">
      <c r="A88" s="93"/>
      <c r="B88" s="28" t="s">
        <v>153</v>
      </c>
      <c r="C88" s="96">
        <v>-119571.79822580675</v>
      </c>
      <c r="D88" s="92">
        <v>-95633.524221000233</v>
      </c>
      <c r="E88" s="96">
        <f t="shared" si="9"/>
        <v>-23938.274004806517</v>
      </c>
      <c r="F88" s="96">
        <v>0</v>
      </c>
      <c r="G88" s="96">
        <f t="shared" si="10"/>
        <v>-23938.274004806517</v>
      </c>
      <c r="H88" s="96">
        <v>0</v>
      </c>
      <c r="I88" s="96">
        <f t="shared" si="11"/>
        <v>-23938.274004806517</v>
      </c>
    </row>
    <row r="89" spans="1:10">
      <c r="A89" s="93"/>
      <c r="B89" s="28" t="s">
        <v>251</v>
      </c>
      <c r="C89" s="96">
        <v>0</v>
      </c>
      <c r="D89" s="92">
        <v>0</v>
      </c>
      <c r="E89" s="96">
        <f t="shared" si="9"/>
        <v>0</v>
      </c>
      <c r="F89" s="96">
        <v>0</v>
      </c>
      <c r="G89" s="96">
        <f t="shared" si="10"/>
        <v>0</v>
      </c>
      <c r="H89" s="96">
        <v>0</v>
      </c>
      <c r="I89" s="96">
        <f t="shared" si="11"/>
        <v>0</v>
      </c>
      <c r="J89" s="34"/>
    </row>
    <row r="90" spans="1:10">
      <c r="A90" s="93"/>
      <c r="B90" s="28" t="s">
        <v>252</v>
      </c>
      <c r="C90" s="96">
        <v>0</v>
      </c>
      <c r="D90" s="92">
        <v>0</v>
      </c>
      <c r="E90" s="96">
        <f t="shared" si="9"/>
        <v>0</v>
      </c>
      <c r="F90" s="96">
        <v>0</v>
      </c>
      <c r="G90" s="96">
        <f t="shared" si="10"/>
        <v>0</v>
      </c>
      <c r="H90" s="96">
        <v>0</v>
      </c>
      <c r="I90" s="96">
        <f t="shared" si="11"/>
        <v>0</v>
      </c>
      <c r="J90" s="34"/>
    </row>
    <row r="91" spans="1:10">
      <c r="A91" s="93"/>
      <c r="B91" s="28" t="s">
        <v>154</v>
      </c>
      <c r="C91" s="96">
        <v>0</v>
      </c>
      <c r="D91" s="92">
        <v>0</v>
      </c>
      <c r="E91" s="92">
        <f t="shared" si="9"/>
        <v>0</v>
      </c>
      <c r="F91" s="96">
        <v>0</v>
      </c>
      <c r="G91" s="96">
        <f t="shared" si="10"/>
        <v>0</v>
      </c>
      <c r="H91" s="96">
        <v>0</v>
      </c>
      <c r="I91" s="96">
        <f t="shared" si="11"/>
        <v>0</v>
      </c>
    </row>
    <row r="92" spans="1:10" s="93" customFormat="1">
      <c r="B92" s="28" t="s">
        <v>199</v>
      </c>
      <c r="C92" s="96">
        <v>-30391.000940937643</v>
      </c>
      <c r="D92" s="92">
        <v>-30391.000940937643</v>
      </c>
      <c r="E92" s="92">
        <f t="shared" si="9"/>
        <v>0</v>
      </c>
      <c r="F92" s="96">
        <v>0</v>
      </c>
      <c r="G92" s="96">
        <f t="shared" si="10"/>
        <v>0</v>
      </c>
      <c r="H92" s="92">
        <v>0</v>
      </c>
      <c r="I92" s="96">
        <f t="shared" si="11"/>
        <v>0</v>
      </c>
    </row>
    <row r="93" spans="1:10">
      <c r="A93" s="93"/>
      <c r="B93" s="28" t="s">
        <v>155</v>
      </c>
      <c r="C93" s="96">
        <v>0</v>
      </c>
      <c r="D93" s="92">
        <v>0</v>
      </c>
      <c r="E93" s="92">
        <f t="shared" si="9"/>
        <v>0</v>
      </c>
      <c r="F93" s="96">
        <v>0</v>
      </c>
      <c r="G93" s="96">
        <f t="shared" si="10"/>
        <v>0</v>
      </c>
      <c r="H93" s="96">
        <v>0</v>
      </c>
      <c r="I93" s="96">
        <f t="shared" si="11"/>
        <v>0</v>
      </c>
    </row>
    <row r="94" spans="1:10">
      <c r="A94" s="93"/>
      <c r="B94" s="28" t="s">
        <v>156</v>
      </c>
      <c r="C94" s="96">
        <v>-77466.801018227576</v>
      </c>
      <c r="D94" s="92">
        <v>0</v>
      </c>
      <c r="E94" s="92">
        <f t="shared" si="9"/>
        <v>-77466.801018227576</v>
      </c>
      <c r="F94" s="96">
        <v>0</v>
      </c>
      <c r="G94" s="96">
        <f t="shared" si="10"/>
        <v>-77466.801018227576</v>
      </c>
      <c r="H94" s="92">
        <v>0</v>
      </c>
      <c r="I94" s="96">
        <f t="shared" si="11"/>
        <v>-77466.801018227576</v>
      </c>
    </row>
    <row r="95" spans="1:10">
      <c r="A95" s="93"/>
      <c r="B95" s="28" t="s">
        <v>157</v>
      </c>
      <c r="C95" s="96">
        <v>-4996.4177500000023</v>
      </c>
      <c r="D95" s="92">
        <v>-4996.4177500000023</v>
      </c>
      <c r="E95" s="92">
        <f t="shared" si="9"/>
        <v>0</v>
      </c>
      <c r="F95" s="96">
        <v>0</v>
      </c>
      <c r="G95" s="92">
        <f t="shared" si="10"/>
        <v>0</v>
      </c>
      <c r="H95" s="92">
        <v>0</v>
      </c>
      <c r="I95" s="96">
        <f t="shared" si="11"/>
        <v>0</v>
      </c>
    </row>
    <row r="96" spans="1:10">
      <c r="A96" s="93"/>
      <c r="B96" s="28" t="s">
        <v>195</v>
      </c>
      <c r="C96" s="96">
        <v>50738.968224999982</v>
      </c>
      <c r="D96" s="92">
        <v>50738.968224999982</v>
      </c>
      <c r="E96" s="92">
        <f t="shared" si="9"/>
        <v>0</v>
      </c>
      <c r="F96" s="96">
        <v>0</v>
      </c>
      <c r="G96" s="92">
        <f t="shared" si="10"/>
        <v>0</v>
      </c>
      <c r="H96" s="92">
        <v>0</v>
      </c>
      <c r="I96" s="96">
        <f t="shared" si="11"/>
        <v>0</v>
      </c>
    </row>
    <row r="97" spans="1:9">
      <c r="A97" s="93"/>
      <c r="B97" s="28" t="s">
        <v>46</v>
      </c>
      <c r="C97" s="96">
        <v>-10751.534199147973</v>
      </c>
      <c r="D97" s="92">
        <v>-8599.0770524785476</v>
      </c>
      <c r="E97" s="92">
        <f t="shared" si="9"/>
        <v>-2152.4571466694251</v>
      </c>
      <c r="F97" s="96">
        <v>0</v>
      </c>
      <c r="G97" s="92">
        <f t="shared" si="10"/>
        <v>-2152.4571466694251</v>
      </c>
      <c r="H97" s="92">
        <v>0</v>
      </c>
      <c r="I97" s="96">
        <f t="shared" si="11"/>
        <v>-2152.4571466694251</v>
      </c>
    </row>
    <row r="98" spans="1:9">
      <c r="A98" s="93"/>
      <c r="B98" s="28" t="s">
        <v>124</v>
      </c>
      <c r="C98" s="96">
        <v>-47380.451999999968</v>
      </c>
      <c r="D98" s="92">
        <v>-47380.451999999968</v>
      </c>
      <c r="E98" s="92">
        <f t="shared" si="9"/>
        <v>0</v>
      </c>
      <c r="F98" s="96">
        <v>0</v>
      </c>
      <c r="G98" s="92">
        <f t="shared" si="10"/>
        <v>0</v>
      </c>
      <c r="H98" s="92">
        <v>0</v>
      </c>
      <c r="I98" s="96">
        <f t="shared" si="11"/>
        <v>0</v>
      </c>
    </row>
    <row r="99" spans="1:9">
      <c r="A99" s="93"/>
      <c r="B99" s="28" t="s">
        <v>169</v>
      </c>
      <c r="C99" s="96">
        <v>18694557.438113701</v>
      </c>
      <c r="D99" s="92">
        <v>14786920.95108751</v>
      </c>
      <c r="E99" s="92">
        <f t="shared" si="9"/>
        <v>3907636.4870261904</v>
      </c>
      <c r="F99" s="96">
        <v>0</v>
      </c>
      <c r="G99" s="92">
        <f t="shared" si="10"/>
        <v>3907636.4870261904</v>
      </c>
      <c r="H99" s="92">
        <v>0</v>
      </c>
      <c r="I99" s="96">
        <f t="shared" si="11"/>
        <v>3907636.4870261904</v>
      </c>
    </row>
    <row r="100" spans="1:9">
      <c r="A100" s="93"/>
      <c r="B100" s="28" t="s">
        <v>205</v>
      </c>
      <c r="C100" s="96">
        <v>169118.83000000002</v>
      </c>
      <c r="D100" s="92">
        <v>134291.36501883582</v>
      </c>
      <c r="E100" s="92">
        <f t="shared" si="9"/>
        <v>34827.464981164201</v>
      </c>
      <c r="F100" s="96">
        <v>0</v>
      </c>
      <c r="G100" s="92">
        <f t="shared" si="10"/>
        <v>34827.464981164201</v>
      </c>
      <c r="H100" s="92">
        <v>0</v>
      </c>
      <c r="I100" s="96">
        <f t="shared" si="11"/>
        <v>34827.464981164201</v>
      </c>
    </row>
    <row r="101" spans="1:9">
      <c r="A101" s="93"/>
      <c r="B101" s="28" t="s">
        <v>167</v>
      </c>
      <c r="C101" s="97">
        <v>1619893.807</v>
      </c>
      <c r="D101" s="97">
        <v>1380280.2365603899</v>
      </c>
      <c r="E101" s="97">
        <f t="shared" si="9"/>
        <v>239613.57043961016</v>
      </c>
      <c r="F101" s="97">
        <v>0</v>
      </c>
      <c r="G101" s="97">
        <f t="shared" si="10"/>
        <v>239613.57043961016</v>
      </c>
      <c r="H101" s="97">
        <v>0</v>
      </c>
      <c r="I101" s="97">
        <f t="shared" si="11"/>
        <v>239613.57043961016</v>
      </c>
    </row>
    <row r="102" spans="1:9">
      <c r="A102" s="93" t="s">
        <v>76</v>
      </c>
      <c r="B102" s="93"/>
      <c r="C102" s="96">
        <f t="shared" ref="C102:I102" si="12">SUM(C65:C101)</f>
        <v>5377931.9232480824</v>
      </c>
      <c r="D102" s="96">
        <f t="shared" si="12"/>
        <v>3612552.2381682256</v>
      </c>
      <c r="E102" s="96">
        <f t="shared" si="12"/>
        <v>1765379.6850798582</v>
      </c>
      <c r="F102" s="96">
        <f t="shared" si="12"/>
        <v>0</v>
      </c>
      <c r="G102" s="96">
        <f t="shared" si="12"/>
        <v>1765379.6850798582</v>
      </c>
      <c r="H102" s="96">
        <f t="shared" si="12"/>
        <v>14235.057143513417</v>
      </c>
      <c r="I102" s="96">
        <f t="shared" si="12"/>
        <v>1751144.6279363451</v>
      </c>
    </row>
    <row r="103" spans="1:9">
      <c r="A103" s="93" t="s">
        <v>73</v>
      </c>
      <c r="B103" s="93"/>
      <c r="C103" s="96"/>
      <c r="D103" s="96"/>
      <c r="E103" s="96"/>
      <c r="F103" s="96"/>
      <c r="G103" s="96"/>
      <c r="H103" s="96"/>
      <c r="I103" s="96"/>
    </row>
    <row r="104" spans="1:9">
      <c r="A104" s="93"/>
      <c r="B104" s="95" t="s">
        <v>127</v>
      </c>
      <c r="C104" s="96">
        <v>0</v>
      </c>
      <c r="D104" s="96">
        <v>0</v>
      </c>
      <c r="E104" s="96">
        <f t="shared" ref="E104:E108" si="13">C104-D104</f>
        <v>0</v>
      </c>
      <c r="F104" s="96">
        <v>0</v>
      </c>
      <c r="G104" s="96">
        <f t="shared" ref="G104:G108" si="14">+E104-F104</f>
        <v>0</v>
      </c>
      <c r="H104" s="96">
        <v>0</v>
      </c>
      <c r="I104" s="96">
        <f t="shared" ref="I104:I108" si="15">+G104-H104</f>
        <v>0</v>
      </c>
    </row>
    <row r="105" spans="1:9">
      <c r="A105" s="93"/>
      <c r="B105" s="95" t="s">
        <v>253</v>
      </c>
      <c r="C105" s="96">
        <v>-1453834.1019886206</v>
      </c>
      <c r="D105" s="96">
        <v>-1316316.2204324307</v>
      </c>
      <c r="E105" s="96">
        <f t="shared" si="13"/>
        <v>-137517.88155618985</v>
      </c>
      <c r="F105" s="96">
        <v>0</v>
      </c>
      <c r="G105" s="96">
        <f t="shared" si="14"/>
        <v>-137517.88155618985</v>
      </c>
      <c r="H105" s="96">
        <v>0</v>
      </c>
      <c r="I105" s="96">
        <f t="shared" si="15"/>
        <v>-137517.88155618985</v>
      </c>
    </row>
    <row r="106" spans="1:9">
      <c r="A106" s="93"/>
      <c r="B106" s="95" t="s">
        <v>209</v>
      </c>
      <c r="C106" s="96">
        <v>-1069828.8980113787</v>
      </c>
      <c r="D106" s="96">
        <f>-940541.77956757</f>
        <v>-940541.77956756996</v>
      </c>
      <c r="E106" s="96">
        <f t="shared" si="13"/>
        <v>-129287.11844380875</v>
      </c>
      <c r="F106" s="96">
        <v>0</v>
      </c>
      <c r="G106" s="96">
        <f t="shared" si="14"/>
        <v>-129287.11844380875</v>
      </c>
      <c r="H106" s="96">
        <v>-129287.11844380852</v>
      </c>
      <c r="I106" s="96">
        <f t="shared" si="15"/>
        <v>-2.3283064365386963E-10</v>
      </c>
    </row>
    <row r="107" spans="1:9">
      <c r="A107" s="93"/>
      <c r="B107" s="87" t="s">
        <v>74</v>
      </c>
      <c r="C107" s="96">
        <v>21285</v>
      </c>
      <c r="D107" s="96">
        <v>21285</v>
      </c>
      <c r="E107" s="96">
        <f t="shared" si="13"/>
        <v>0</v>
      </c>
      <c r="F107" s="96">
        <v>0</v>
      </c>
      <c r="G107" s="96">
        <f t="shared" si="14"/>
        <v>0</v>
      </c>
      <c r="H107" s="96">
        <v>0</v>
      </c>
      <c r="I107" s="96">
        <f t="shared" si="15"/>
        <v>0</v>
      </c>
    </row>
    <row r="108" spans="1:9">
      <c r="A108" s="93"/>
      <c r="B108" s="87" t="s">
        <v>14</v>
      </c>
      <c r="C108" s="92">
        <v>0</v>
      </c>
      <c r="D108" s="92">
        <v>0</v>
      </c>
      <c r="E108" s="92">
        <f t="shared" si="13"/>
        <v>0</v>
      </c>
      <c r="F108" s="92">
        <v>0</v>
      </c>
      <c r="G108" s="92">
        <f t="shared" si="14"/>
        <v>0</v>
      </c>
      <c r="H108" s="92">
        <v>0</v>
      </c>
      <c r="I108" s="96">
        <f t="shared" si="15"/>
        <v>0</v>
      </c>
    </row>
    <row r="109" spans="1:9" ht="13.5" thickBot="1">
      <c r="A109" s="88" t="s">
        <v>77</v>
      </c>
      <c r="B109" s="99"/>
      <c r="C109" s="100">
        <f t="shared" ref="C109:I109" si="16">SUM(C102:C108)</f>
        <v>2875553.9232480833</v>
      </c>
      <c r="D109" s="100">
        <f t="shared" si="16"/>
        <v>1376979.2381682252</v>
      </c>
      <c r="E109" s="100">
        <f t="shared" si="16"/>
        <v>1498574.6850798596</v>
      </c>
      <c r="F109" s="100">
        <f t="shared" si="16"/>
        <v>0</v>
      </c>
      <c r="G109" s="100">
        <f t="shared" si="16"/>
        <v>1498574.6850798596</v>
      </c>
      <c r="H109" s="100">
        <f t="shared" si="16"/>
        <v>-115052.0613002951</v>
      </c>
      <c r="I109" s="100">
        <f t="shared" si="16"/>
        <v>1613626.746380155</v>
      </c>
    </row>
    <row r="110" spans="1:9" ht="13.5" thickTop="1">
      <c r="B110" s="99"/>
      <c r="C110" s="58"/>
      <c r="D110" s="58"/>
      <c r="E110" s="58"/>
      <c r="F110" s="58"/>
      <c r="G110" s="58"/>
      <c r="H110" s="58"/>
      <c r="I110" s="58"/>
    </row>
    <row r="111" spans="1:9" ht="13.5" thickBot="1">
      <c r="A111" s="88" t="s">
        <v>128</v>
      </c>
      <c r="C111" s="118">
        <f t="shared" ref="C111:I111" si="17">SUM(C14,C62,C109)</f>
        <v>-27418282.105720781</v>
      </c>
      <c r="D111" s="118">
        <f t="shared" si="17"/>
        <v>-29707767.039467908</v>
      </c>
      <c r="E111" s="118">
        <f t="shared" si="17"/>
        <v>2289484.9337470997</v>
      </c>
      <c r="F111" s="118">
        <f t="shared" si="17"/>
        <v>0</v>
      </c>
      <c r="G111" s="118">
        <f t="shared" si="17"/>
        <v>2289484.9337470997</v>
      </c>
      <c r="H111" s="118">
        <f t="shared" si="17"/>
        <v>-1958828.6786833028</v>
      </c>
      <c r="I111" s="118">
        <f t="shared" si="17"/>
        <v>4248313.6124304021</v>
      </c>
    </row>
    <row r="112" spans="1:9" ht="13.5" thickTop="1">
      <c r="D112" s="109"/>
      <c r="E112" s="109"/>
      <c r="G112" s="58"/>
      <c r="H112" s="109"/>
    </row>
    <row r="115" spans="2:10">
      <c r="B115" s="99"/>
      <c r="E115" s="93"/>
      <c r="G115" s="47">
        <f>'Current Tax F'!G75</f>
        <v>5936428.7673346624</v>
      </c>
      <c r="H115" s="47"/>
      <c r="I115" s="47">
        <f>'Current Tax F'!I75</f>
        <v>4711966.2874659989</v>
      </c>
      <c r="J115" s="34" t="s">
        <v>78</v>
      </c>
    </row>
    <row r="116" spans="2:10">
      <c r="B116" s="99"/>
      <c r="G116" s="47">
        <f>G115+G14+G62</f>
        <v>6727339.0160019025</v>
      </c>
      <c r="H116" s="47"/>
      <c r="I116" s="47">
        <f>I115+I14+I62</f>
        <v>7346653.153516246</v>
      </c>
      <c r="J116" s="34" t="s">
        <v>79</v>
      </c>
    </row>
    <row r="117" spans="2:10">
      <c r="B117" s="99"/>
      <c r="G117" s="47">
        <f>6727925-584</f>
        <v>6727341</v>
      </c>
      <c r="H117" s="47"/>
      <c r="I117" s="47">
        <f>7347239.13751438-584</f>
        <v>7346655.1375143798</v>
      </c>
      <c r="J117" s="34" t="s">
        <v>175</v>
      </c>
    </row>
    <row r="118" spans="2:10">
      <c r="G118" s="47">
        <f>G116-G117</f>
        <v>-1.9839980974793434</v>
      </c>
      <c r="H118" s="47"/>
      <c r="I118" s="47">
        <f>I116-I117</f>
        <v>-1.9839981338009238</v>
      </c>
      <c r="J118" s="34" t="s">
        <v>80</v>
      </c>
    </row>
    <row r="119" spans="2:10">
      <c r="B119" s="101"/>
      <c r="G119" s="47"/>
      <c r="H119" s="47"/>
      <c r="I119" s="47"/>
      <c r="J119" s="34"/>
    </row>
    <row r="120" spans="2:10">
      <c r="B120" s="102"/>
      <c r="G120" s="47">
        <f>'Current Tax F'!G98</f>
        <v>485421.66446340084</v>
      </c>
      <c r="H120" s="47"/>
      <c r="I120" s="47">
        <f>'Current Tax F'!I98</f>
        <v>178538.83742864875</v>
      </c>
      <c r="J120" s="34" t="s">
        <v>81</v>
      </c>
    </row>
    <row r="121" spans="2:10">
      <c r="G121" s="47">
        <f>G120+G109</f>
        <v>1983996.3495432604</v>
      </c>
      <c r="H121" s="47"/>
      <c r="I121" s="47">
        <f>I120+I109</f>
        <v>1792165.5838088037</v>
      </c>
      <c r="J121" s="34" t="s">
        <v>82</v>
      </c>
    </row>
    <row r="122" spans="2:10">
      <c r="B122" s="103"/>
      <c r="G122" s="47">
        <v>1983995</v>
      </c>
      <c r="H122" s="47"/>
      <c r="I122" s="47">
        <v>1792164.2342655505</v>
      </c>
      <c r="J122" s="34" t="s">
        <v>175</v>
      </c>
    </row>
    <row r="123" spans="2:10">
      <c r="G123" s="47">
        <f>G121-G122</f>
        <v>1.349543260410428</v>
      </c>
      <c r="H123" s="47"/>
      <c r="I123" s="47">
        <f>I121-I122</f>
        <v>1.3495432531926781</v>
      </c>
      <c r="J123" s="34" t="s">
        <v>80</v>
      </c>
    </row>
    <row r="124" spans="2:10">
      <c r="G124" s="47"/>
      <c r="H124" s="47"/>
      <c r="I124" s="47"/>
      <c r="J124" s="34"/>
    </row>
    <row r="125" spans="2:10">
      <c r="G125" s="47">
        <f>G116+G121</f>
        <v>8711335.3655451629</v>
      </c>
      <c r="H125" s="47"/>
      <c r="I125" s="47">
        <f>I116+I121</f>
        <v>9138818.7373250499</v>
      </c>
      <c r="J125" s="34" t="s">
        <v>83</v>
      </c>
    </row>
    <row r="126" spans="2:10">
      <c r="G126" s="47">
        <f>G117+G122</f>
        <v>8711336</v>
      </c>
      <c r="H126" s="47"/>
      <c r="I126" s="47">
        <f>I117+I122</f>
        <v>9138819.3717799298</v>
      </c>
      <c r="J126" s="34" t="s">
        <v>175</v>
      </c>
    </row>
    <row r="127" spans="2:10">
      <c r="G127" s="47">
        <f>G125-G126</f>
        <v>-0.63445483706891537</v>
      </c>
      <c r="H127" s="47"/>
      <c r="I127" s="47">
        <f>I125-I126</f>
        <v>-0.6344548799097538</v>
      </c>
      <c r="J127" s="34" t="s">
        <v>80</v>
      </c>
    </row>
    <row r="128" spans="2:10">
      <c r="G128" s="47"/>
      <c r="H128" s="47"/>
      <c r="I128" s="47"/>
      <c r="J128" s="34"/>
    </row>
    <row r="129" spans="3:10">
      <c r="C129" s="92">
        <v>-29376255.028968822</v>
      </c>
      <c r="D129" s="92">
        <v>-30167750.277636141</v>
      </c>
      <c r="E129" s="92">
        <v>791495.24866729276</v>
      </c>
      <c r="F129" s="92">
        <v>0</v>
      </c>
      <c r="G129" s="92">
        <v>791495.24866729276</v>
      </c>
      <c r="H129" s="92">
        <v>-1843776.6173830077</v>
      </c>
      <c r="I129" s="92">
        <v>2635271.8660502997</v>
      </c>
      <c r="J129" s="34"/>
    </row>
    <row r="130" spans="3:10">
      <c r="C130" s="92">
        <v>2875554.9232480824</v>
      </c>
      <c r="D130" s="92">
        <v>1376980.2381682741</v>
      </c>
      <c r="E130" s="92">
        <v>1498574.6850798095</v>
      </c>
      <c r="F130" s="92">
        <v>0</v>
      </c>
      <c r="G130" s="92">
        <v>1498574.6850798095</v>
      </c>
      <c r="H130" s="92">
        <v>-115052.0613002951</v>
      </c>
      <c r="I130" s="92">
        <v>1613626.7463801049</v>
      </c>
      <c r="J130" s="34"/>
    </row>
    <row r="131" spans="3:10">
      <c r="C131" s="92">
        <v>-27418280.10572074</v>
      </c>
      <c r="D131" s="92">
        <v>-29707766.039467867</v>
      </c>
      <c r="E131" s="92">
        <v>2289485.9337471025</v>
      </c>
      <c r="F131" s="92">
        <v>0</v>
      </c>
      <c r="G131" s="92">
        <v>2289485.9337471025</v>
      </c>
      <c r="H131" s="92">
        <v>-1958828.6786833028</v>
      </c>
      <c r="I131" s="92">
        <v>4248314.6124304049</v>
      </c>
      <c r="J131" s="34"/>
    </row>
    <row r="132" spans="3:10">
      <c r="C132" s="92">
        <f t="shared" ref="C132:I132" si="18">+C62-C129</f>
        <v>-1.0000000409781933</v>
      </c>
      <c r="D132" s="92">
        <f t="shared" si="18"/>
        <v>0</v>
      </c>
      <c r="E132" s="92">
        <f t="shared" si="18"/>
        <v>-1.0000000526197255</v>
      </c>
      <c r="F132" s="92">
        <f t="shared" si="18"/>
        <v>0</v>
      </c>
      <c r="G132" s="92">
        <f t="shared" si="18"/>
        <v>-1.0000000526197255</v>
      </c>
      <c r="H132" s="92">
        <f t="shared" si="18"/>
        <v>0</v>
      </c>
      <c r="I132" s="92">
        <f t="shared" si="18"/>
        <v>-1.0000000526197255</v>
      </c>
      <c r="J132" s="34"/>
    </row>
    <row r="133" spans="3:10">
      <c r="C133" s="92">
        <f>+C109-C130</f>
        <v>-0.99999999906867743</v>
      </c>
      <c r="D133" s="92">
        <f t="shared" ref="D133:I133" si="19">+D109-D130</f>
        <v>-1.0000000488944352</v>
      </c>
      <c r="E133" s="92">
        <f t="shared" si="19"/>
        <v>5.005858838558197E-8</v>
      </c>
      <c r="F133" s="92">
        <f t="shared" si="19"/>
        <v>0</v>
      </c>
      <c r="G133" s="92">
        <f t="shared" si="19"/>
        <v>5.005858838558197E-8</v>
      </c>
      <c r="H133" s="92">
        <f t="shared" si="19"/>
        <v>0</v>
      </c>
      <c r="I133" s="92">
        <f t="shared" si="19"/>
        <v>5.005858838558197E-8</v>
      </c>
      <c r="J133" s="34"/>
    </row>
    <row r="134" spans="3:10">
      <c r="C134" s="92">
        <f>+C111-C131</f>
        <v>-2.0000000409781933</v>
      </c>
      <c r="D134" s="92">
        <f t="shared" ref="D134:I134" si="20">+D111-D131</f>
        <v>-1.0000000409781933</v>
      </c>
      <c r="E134" s="92">
        <f t="shared" si="20"/>
        <v>-1.0000000027939677</v>
      </c>
      <c r="F134" s="92">
        <f t="shared" si="20"/>
        <v>0</v>
      </c>
      <c r="G134" s="92">
        <f t="shared" si="20"/>
        <v>-1.0000000027939677</v>
      </c>
      <c r="H134" s="92">
        <f t="shared" si="20"/>
        <v>0</v>
      </c>
      <c r="I134" s="92">
        <f t="shared" si="20"/>
        <v>-1.0000000027939677</v>
      </c>
      <c r="J134" s="34"/>
    </row>
    <row r="135" spans="3:10">
      <c r="G135" s="47"/>
      <c r="H135" s="47"/>
      <c r="I135" s="47"/>
    </row>
    <row r="136" spans="3:10">
      <c r="G136" s="47"/>
      <c r="H136" s="47"/>
      <c r="I136" s="47"/>
      <c r="J136" s="34"/>
    </row>
    <row r="137" spans="3:10">
      <c r="G137" s="47"/>
      <c r="H137" s="47"/>
      <c r="I137" s="47"/>
      <c r="J137" s="34"/>
    </row>
    <row r="138" spans="3:10">
      <c r="G138" s="47"/>
      <c r="H138" s="47"/>
      <c r="I138" s="47"/>
      <c r="J138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2AB792A-2022-4FF2-BBA4-E989AFEDC2D4}"/>
</file>

<file path=customXml/itemProps2.xml><?xml version="1.0" encoding="utf-8"?>
<ds:datastoreItem xmlns:ds="http://schemas.openxmlformats.org/officeDocument/2006/customXml" ds:itemID="{BBA46B63-A3C0-4DA5-9F25-E83CE77FFEED}"/>
</file>

<file path=customXml/itemProps3.xml><?xml version="1.0" encoding="utf-8"?>
<ds:datastoreItem xmlns:ds="http://schemas.openxmlformats.org/officeDocument/2006/customXml" ds:itemID="{12924E42-B702-48AE-BDBD-395C89CB7537}"/>
</file>

<file path=customXml/itemProps4.xml><?xml version="1.0" encoding="utf-8"?>
<ds:datastoreItem xmlns:ds="http://schemas.openxmlformats.org/officeDocument/2006/customXml" ds:itemID="{600C8921-91C0-4052-94E1-530E20132E93}"/>
</file>

<file path=customXml/itemProps5.xml><?xml version="1.0" encoding="utf-8"?>
<ds:datastoreItem xmlns:ds="http://schemas.openxmlformats.org/officeDocument/2006/customXml" ds:itemID="{C1C0AD17-8EC4-4653-905F-772675B01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ExcessADIT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2020-12-04T14:18:23Z</dcterms:created>
  <dcterms:modified xsi:type="dcterms:W3CDTF">2020-12-04T14:19:14Z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