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heckCompatibility="1" defaultThemeVersion="124226"/>
  <xr:revisionPtr revIDLastSave="0" documentId="13_ncr:1_{9ADB29CE-E20E-47F7-B194-229006D33519}" xr6:coauthVersionLast="45" xr6:coauthVersionMax="45" xr10:uidLastSave="{00000000-0000-0000-0000-000000000000}"/>
  <bookViews>
    <workbookView xWindow="-110" yWindow="-110" windowWidth="19420" windowHeight="10420" tabRatio="851" xr2:uid="{00000000-000D-0000-FFFF-FFFF00000000}"/>
  </bookViews>
  <sheets>
    <sheet name="Rate Case Constants" sheetId="8" r:id="rId1"/>
    <sheet name="INPUT" sheetId="1" r:id="rId2"/>
    <sheet name="SCHEDULES===&gt;" sheetId="14" r:id="rId3"/>
    <sheet name="RGS_VFD" sheetId="2" r:id="rId4"/>
    <sheet name="CGS less than 5000cfh" sheetId="3" r:id="rId5"/>
    <sheet name="CGS greater than 5000cfh" sheetId="10" r:id="rId6"/>
    <sheet name="IGS less than 5000cfh" sheetId="11" r:id="rId7"/>
    <sheet name="IGS greater than 5000cfh" sheetId="4" r:id="rId8"/>
    <sheet name="AAGS" sheetId="5" r:id="rId9"/>
    <sheet name="FT" sheetId="7" r:id="rId10"/>
    <sheet name="Intra-Company Special Contract" sheetId="21" r:id="rId11"/>
    <sheet name="DGGS less than 5000cfh" sheetId="12" r:id="rId12"/>
    <sheet name="DGGS greater than 5000cfh" sheetId="13" r:id="rId13"/>
    <sheet name="SGSS - Commercial" sheetId="16" r:id="rId14"/>
    <sheet name="SGSS - Industrial" sheetId="18" r:id="rId15"/>
    <sheet name="LGDS" sheetId="17" r:id="rId16"/>
  </sheets>
  <definedNames>
    <definedName name="_xlnm.Print_Area" localSheetId="8">AAGS!$A$1:$P$39</definedName>
    <definedName name="_xlnm.Print_Area" localSheetId="5">'CGS greater than 5000cfh'!$A$1:$P$39</definedName>
    <definedName name="_xlnm.Print_Area" localSheetId="4">'CGS less than 5000cfh'!$A$1:$P$39</definedName>
    <definedName name="_xlnm.Print_Area" localSheetId="12">'DGGS greater than 5000cfh'!$A$1:$R$45</definedName>
    <definedName name="_xlnm.Print_Area" localSheetId="11">'DGGS less than 5000cfh'!$A$1:$R$45</definedName>
    <definedName name="_xlnm.Print_Area" localSheetId="9">FT!$A$1:$Q$44</definedName>
    <definedName name="_xlnm.Print_Area" localSheetId="7">'IGS greater than 5000cfh'!$A$1:$P$39</definedName>
    <definedName name="_xlnm.Print_Area" localSheetId="6">'IGS less than 5000cfh'!$A$1:$P$39</definedName>
    <definedName name="_xlnm.Print_Area" localSheetId="1">INPUT!$A$1:$L$53</definedName>
    <definedName name="_xlnm.Print_Area" localSheetId="10">'Intra-Company Special Contract'!$A$1:$Q$44</definedName>
    <definedName name="_xlnm.Print_Area" localSheetId="15">LGDS!$A$1:$Q$44</definedName>
    <definedName name="_xlnm.Print_Area" localSheetId="3">RGS_VFD!$A$1:$P$39</definedName>
    <definedName name="_xlnm.Print_Area" localSheetId="13">'SGSS - Commercial'!$A$1:$Q$44</definedName>
    <definedName name="_xlnm.Print_Area" localSheetId="14">'SGSS - Industrial'!$A$1:$Q$44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3" l="1"/>
  <c r="A41" i="13"/>
  <c r="AF20" i="12" l="1"/>
  <c r="A22" i="2"/>
  <c r="A41" i="12"/>
  <c r="A37" i="2"/>
  <c r="E59" i="1"/>
  <c r="E60" i="1"/>
  <c r="E62" i="1"/>
  <c r="E63" i="1"/>
  <c r="E58" i="1"/>
  <c r="C62" i="1"/>
  <c r="C63" i="1"/>
  <c r="C59" i="1"/>
  <c r="C60" i="1"/>
  <c r="C61" i="1"/>
  <c r="E61" i="1" s="1"/>
  <c r="C58" i="1"/>
  <c r="M53" i="1"/>
  <c r="A24" i="18"/>
  <c r="C26" i="18" s="1"/>
  <c r="A28" i="18"/>
  <c r="C28" i="18" s="1"/>
  <c r="A32" i="18"/>
  <c r="C33" i="18" s="1"/>
  <c r="A36" i="18"/>
  <c r="C38" i="18" s="1"/>
  <c r="A20" i="18"/>
  <c r="C21" i="18" s="1"/>
  <c r="O50" i="1"/>
  <c r="AE16" i="16" s="1"/>
  <c r="O44" i="1"/>
  <c r="X12" i="12"/>
  <c r="V12" i="4"/>
  <c r="V12" i="11"/>
  <c r="O48" i="1"/>
  <c r="X12" i="13" s="1"/>
  <c r="AF16" i="12"/>
  <c r="AB16" i="4"/>
  <c r="AB20" i="4" s="1"/>
  <c r="O49" i="1"/>
  <c r="AB16" i="11" s="1"/>
  <c r="C38" i="17"/>
  <c r="C37" i="17"/>
  <c r="C36" i="17"/>
  <c r="C34" i="17"/>
  <c r="C33" i="17"/>
  <c r="C32" i="17"/>
  <c r="C30" i="17"/>
  <c r="C29" i="17"/>
  <c r="C28" i="17"/>
  <c r="C26" i="17"/>
  <c r="C25" i="17"/>
  <c r="C24" i="17"/>
  <c r="C22" i="17"/>
  <c r="C21" i="17"/>
  <c r="C20" i="17"/>
  <c r="C24" i="18"/>
  <c r="C38" i="16"/>
  <c r="C37" i="16"/>
  <c r="C36" i="16"/>
  <c r="C34" i="16"/>
  <c r="C33" i="16"/>
  <c r="C32" i="16"/>
  <c r="C30" i="16"/>
  <c r="C29" i="16"/>
  <c r="C28" i="16"/>
  <c r="C26" i="16"/>
  <c r="C25" i="16"/>
  <c r="C24" i="16"/>
  <c r="C22" i="16"/>
  <c r="C21" i="16"/>
  <c r="C20" i="16"/>
  <c r="C38" i="13"/>
  <c r="C37" i="13"/>
  <c r="C36" i="13"/>
  <c r="C34" i="13"/>
  <c r="C33" i="13"/>
  <c r="C32" i="13"/>
  <c r="C30" i="13"/>
  <c r="C29" i="13"/>
  <c r="C28" i="13"/>
  <c r="C26" i="13"/>
  <c r="C25" i="13"/>
  <c r="C24" i="13"/>
  <c r="C22" i="13"/>
  <c r="C21" i="13"/>
  <c r="C20" i="13"/>
  <c r="C38" i="12"/>
  <c r="C37" i="12"/>
  <c r="C36" i="12"/>
  <c r="C34" i="12"/>
  <c r="C33" i="12"/>
  <c r="C32" i="12"/>
  <c r="C30" i="12"/>
  <c r="C29" i="12"/>
  <c r="C28" i="12"/>
  <c r="C26" i="12"/>
  <c r="C25" i="12"/>
  <c r="C24" i="12"/>
  <c r="C22" i="12"/>
  <c r="C21" i="12"/>
  <c r="C20" i="12"/>
  <c r="C38" i="21"/>
  <c r="C37" i="21"/>
  <c r="C36" i="21"/>
  <c r="C34" i="21"/>
  <c r="C33" i="21"/>
  <c r="C32" i="21"/>
  <c r="C30" i="21"/>
  <c r="C29" i="21"/>
  <c r="C28" i="21"/>
  <c r="C26" i="21"/>
  <c r="C25" i="21"/>
  <c r="C24" i="21"/>
  <c r="C22" i="21"/>
  <c r="C21" i="21"/>
  <c r="C20" i="21"/>
  <c r="C38" i="7"/>
  <c r="C37" i="7"/>
  <c r="C36" i="7"/>
  <c r="C34" i="7"/>
  <c r="C33" i="7"/>
  <c r="C32" i="7"/>
  <c r="C30" i="7"/>
  <c r="C29" i="7"/>
  <c r="C28" i="7"/>
  <c r="C26" i="7"/>
  <c r="C25" i="7"/>
  <c r="C24" i="7"/>
  <c r="C22" i="7"/>
  <c r="C21" i="7"/>
  <c r="C20" i="7"/>
  <c r="AB22" i="11" l="1"/>
  <c r="AB26" i="11"/>
  <c r="AB30" i="11"/>
  <c r="AB34" i="11"/>
  <c r="AB24" i="11"/>
  <c r="AB28" i="11"/>
  <c r="AB32" i="11"/>
  <c r="AE16" i="18"/>
  <c r="AF22" i="12"/>
  <c r="AF25" i="12"/>
  <c r="AF28" i="12"/>
  <c r="AF30" i="12"/>
  <c r="AF33" i="12"/>
  <c r="AF36" i="12"/>
  <c r="AF38" i="12"/>
  <c r="AF21" i="12"/>
  <c r="AF24" i="12"/>
  <c r="AF26" i="12"/>
  <c r="AF29" i="12"/>
  <c r="AF32" i="12"/>
  <c r="AF34" i="12"/>
  <c r="AF37" i="12"/>
  <c r="AB16" i="10"/>
  <c r="AE21" i="16"/>
  <c r="AE24" i="16"/>
  <c r="AE26" i="16"/>
  <c r="F26" i="16" s="1"/>
  <c r="AE29" i="16"/>
  <c r="F29" i="16" s="1"/>
  <c r="AE32" i="16"/>
  <c r="AE34" i="16"/>
  <c r="AE37" i="16"/>
  <c r="F37" i="16" s="1"/>
  <c r="AE20" i="16"/>
  <c r="AE22" i="16"/>
  <c r="AE25" i="16"/>
  <c r="AE28" i="16"/>
  <c r="F28" i="16" s="1"/>
  <c r="AE30" i="16"/>
  <c r="AE33" i="16"/>
  <c r="AE36" i="16"/>
  <c r="AE38" i="16"/>
  <c r="F38" i="16" s="1"/>
  <c r="AB22" i="4"/>
  <c r="AB26" i="4"/>
  <c r="AB30" i="4"/>
  <c r="AB34" i="4"/>
  <c r="AB24" i="4"/>
  <c r="AB28" i="4"/>
  <c r="AB32" i="4"/>
  <c r="AB16" i="3"/>
  <c r="AB20" i="11"/>
  <c r="V12" i="10"/>
  <c r="W12" i="16"/>
  <c r="V12" i="3"/>
  <c r="W12" i="18"/>
  <c r="AF16" i="13"/>
  <c r="AF20" i="13" s="1"/>
  <c r="AF38" i="13"/>
  <c r="AF33" i="13"/>
  <c r="AF30" i="13"/>
  <c r="AF28" i="13"/>
  <c r="AF25" i="13"/>
  <c r="AF22" i="13"/>
  <c r="AF37" i="13"/>
  <c r="G37" i="13" s="1"/>
  <c r="AF34" i="13"/>
  <c r="AF32" i="13"/>
  <c r="AF29" i="13"/>
  <c r="AF26" i="13"/>
  <c r="G26" i="13" s="1"/>
  <c r="AF24" i="13"/>
  <c r="AF21" i="13"/>
  <c r="AF36" i="13"/>
  <c r="C20" i="18"/>
  <c r="C22" i="18"/>
  <c r="C29" i="18"/>
  <c r="C25" i="18"/>
  <c r="C30" i="18"/>
  <c r="K30" i="18" s="1"/>
  <c r="C36" i="18"/>
  <c r="C34" i="18"/>
  <c r="C32" i="18"/>
  <c r="C37" i="18"/>
  <c r="K22" i="18"/>
  <c r="K24" i="18"/>
  <c r="K33" i="18"/>
  <c r="K21" i="16"/>
  <c r="K22" i="16"/>
  <c r="K24" i="16"/>
  <c r="K25" i="16"/>
  <c r="K26" i="16"/>
  <c r="K28" i="16"/>
  <c r="K29" i="16"/>
  <c r="K30" i="16"/>
  <c r="K32" i="16"/>
  <c r="K33" i="16"/>
  <c r="K34" i="16"/>
  <c r="K36" i="16"/>
  <c r="K37" i="16"/>
  <c r="K38" i="16"/>
  <c r="K20" i="16"/>
  <c r="F24" i="16"/>
  <c r="F21" i="16"/>
  <c r="F22" i="16"/>
  <c r="F25" i="16"/>
  <c r="F30" i="16"/>
  <c r="F32" i="16"/>
  <c r="F33" i="16"/>
  <c r="F34" i="16"/>
  <c r="F36" i="16"/>
  <c r="L21" i="13"/>
  <c r="L22" i="13"/>
  <c r="L24" i="13"/>
  <c r="L25" i="13"/>
  <c r="L26" i="13"/>
  <c r="L28" i="13"/>
  <c r="L29" i="13"/>
  <c r="L30" i="13"/>
  <c r="L32" i="13"/>
  <c r="L33" i="13"/>
  <c r="L34" i="13"/>
  <c r="L36" i="13"/>
  <c r="L37" i="13"/>
  <c r="L38" i="13"/>
  <c r="L20" i="13"/>
  <c r="G21" i="13"/>
  <c r="G22" i="13"/>
  <c r="G24" i="13"/>
  <c r="G25" i="13"/>
  <c r="G28" i="13"/>
  <c r="G29" i="13"/>
  <c r="G30" i="13"/>
  <c r="G32" i="13"/>
  <c r="G33" i="13"/>
  <c r="G34" i="13"/>
  <c r="G36" i="13"/>
  <c r="G38" i="13"/>
  <c r="L21" i="12"/>
  <c r="L22" i="12"/>
  <c r="L24" i="12"/>
  <c r="L25" i="12"/>
  <c r="L26" i="12"/>
  <c r="L28" i="12"/>
  <c r="L29" i="12"/>
  <c r="L30" i="12"/>
  <c r="L32" i="12"/>
  <c r="L33" i="12"/>
  <c r="L34" i="12"/>
  <c r="L36" i="12"/>
  <c r="L37" i="12"/>
  <c r="L38" i="12"/>
  <c r="L20" i="12"/>
  <c r="G21" i="12"/>
  <c r="G22" i="12"/>
  <c r="G24" i="12"/>
  <c r="G25" i="12"/>
  <c r="G26" i="12"/>
  <c r="G28" i="12"/>
  <c r="G29" i="12"/>
  <c r="G30" i="12"/>
  <c r="G32" i="12"/>
  <c r="G33" i="12"/>
  <c r="G34" i="12"/>
  <c r="G36" i="12"/>
  <c r="G37" i="12"/>
  <c r="G38" i="12"/>
  <c r="A41" i="7"/>
  <c r="Q9" i="7"/>
  <c r="Q8" i="7"/>
  <c r="Q7" i="7"/>
  <c r="AE22" i="18" l="1"/>
  <c r="F22" i="18" s="1"/>
  <c r="AE25" i="18"/>
  <c r="AE28" i="18"/>
  <c r="F28" i="18" s="1"/>
  <c r="AE30" i="18"/>
  <c r="F30" i="18" s="1"/>
  <c r="AE33" i="18"/>
  <c r="F33" i="18" s="1"/>
  <c r="AE36" i="18"/>
  <c r="F36" i="18" s="1"/>
  <c r="AE38" i="18"/>
  <c r="F38" i="18" s="1"/>
  <c r="AE21" i="18"/>
  <c r="F21" i="18" s="1"/>
  <c r="AE24" i="18"/>
  <c r="F24" i="18" s="1"/>
  <c r="AE26" i="18"/>
  <c r="F26" i="18" s="1"/>
  <c r="AE29" i="18"/>
  <c r="AE32" i="18"/>
  <c r="F32" i="18" s="1"/>
  <c r="AE34" i="18"/>
  <c r="AE37" i="18"/>
  <c r="AE20" i="18"/>
  <c r="F37" i="18"/>
  <c r="K26" i="18"/>
  <c r="K38" i="18"/>
  <c r="K21" i="18"/>
  <c r="K28" i="18"/>
  <c r="K20" i="18"/>
  <c r="AB22" i="10"/>
  <c r="AB26" i="10"/>
  <c r="AB30" i="10"/>
  <c r="AB34" i="10"/>
  <c r="AB24" i="10"/>
  <c r="AB28" i="10"/>
  <c r="AB32" i="10"/>
  <c r="AB20" i="10"/>
  <c r="F25" i="18"/>
  <c r="AB22" i="3"/>
  <c r="AB26" i="3"/>
  <c r="AB30" i="3"/>
  <c r="AB34" i="3"/>
  <c r="AB24" i="3"/>
  <c r="AB28" i="3"/>
  <c r="AB32" i="3"/>
  <c r="AB20" i="3"/>
  <c r="K37" i="18"/>
  <c r="K29" i="18"/>
  <c r="K25" i="18"/>
  <c r="K32" i="18"/>
  <c r="F29" i="18"/>
  <c r="K34" i="18"/>
  <c r="K36" i="18"/>
  <c r="F34" i="18"/>
  <c r="A42" i="17" l="1"/>
  <c r="A42" i="18"/>
  <c r="A42" i="12"/>
  <c r="A41" i="17"/>
  <c r="A41" i="18"/>
  <c r="A41" i="16"/>
  <c r="A41" i="21"/>
  <c r="A37" i="5"/>
  <c r="A37" i="4"/>
  <c r="A37" i="11"/>
  <c r="A37" i="10"/>
  <c r="A37" i="3"/>
  <c r="A42" i="16"/>
  <c r="A42" i="21"/>
  <c r="A42" i="7"/>
  <c r="L49" i="1" l="1"/>
  <c r="K49" i="1"/>
  <c r="K43" i="1"/>
  <c r="AC18" i="21"/>
  <c r="X18" i="21"/>
  <c r="AC20" i="7"/>
  <c r="X18" i="7"/>
  <c r="AD18" i="7"/>
  <c r="W20" i="7"/>
  <c r="AC26" i="7" l="1"/>
  <c r="AC32" i="7"/>
  <c r="AC37" i="7"/>
  <c r="AC33" i="7"/>
  <c r="AC25" i="7"/>
  <c r="AC22" i="7"/>
  <c r="AC28" i="7"/>
  <c r="AC38" i="7"/>
  <c r="AC36" i="7"/>
  <c r="AC24" i="7"/>
  <c r="AC29" i="7"/>
  <c r="AC34" i="7"/>
  <c r="AC21" i="7"/>
  <c r="AC30" i="7"/>
  <c r="W36" i="7"/>
  <c r="W30" i="7"/>
  <c r="W25" i="7"/>
  <c r="W29" i="7"/>
  <c r="W24" i="7"/>
  <c r="W26" i="7"/>
  <c r="W34" i="7"/>
  <c r="W37" i="7"/>
  <c r="W38" i="7"/>
  <c r="W33" i="7"/>
  <c r="W28" i="7"/>
  <c r="W22" i="7"/>
  <c r="W32" i="7"/>
  <c r="W21" i="7"/>
  <c r="X37" i="21"/>
  <c r="X34" i="21"/>
  <c r="X28" i="21"/>
  <c r="X21" i="21"/>
  <c r="X38" i="21"/>
  <c r="X29" i="21"/>
  <c r="X24" i="21"/>
  <c r="X26" i="21"/>
  <c r="X36" i="21"/>
  <c r="X30" i="21"/>
  <c r="X22" i="21"/>
  <c r="X33" i="21"/>
  <c r="X25" i="21"/>
  <c r="X20" i="21"/>
  <c r="X32" i="21"/>
  <c r="AD36" i="7"/>
  <c r="AD29" i="7"/>
  <c r="AD26" i="7"/>
  <c r="AD20" i="7"/>
  <c r="AD25" i="7"/>
  <c r="AD33" i="7"/>
  <c r="AD30" i="7"/>
  <c r="AD24" i="7"/>
  <c r="AD32" i="7"/>
  <c r="AD37" i="7"/>
  <c r="AD34" i="7"/>
  <c r="AD28" i="7"/>
  <c r="AD21" i="7"/>
  <c r="AD38" i="7"/>
  <c r="AD22" i="7"/>
  <c r="AC33" i="21"/>
  <c r="AC30" i="21"/>
  <c r="AC24" i="21"/>
  <c r="AC38" i="21"/>
  <c r="AC32" i="21"/>
  <c r="AC25" i="21"/>
  <c r="AC22" i="21"/>
  <c r="AC29" i="21"/>
  <c r="AC20" i="21"/>
  <c r="AC37" i="21"/>
  <c r="AC28" i="21"/>
  <c r="AC21" i="21"/>
  <c r="AC36" i="21"/>
  <c r="AC26" i="21"/>
  <c r="AC34" i="21"/>
  <c r="X38" i="7"/>
  <c r="X32" i="7"/>
  <c r="X25" i="7"/>
  <c r="X22" i="7"/>
  <c r="X36" i="7"/>
  <c r="X26" i="7"/>
  <c r="X20" i="7"/>
  <c r="X34" i="7"/>
  <c r="X21" i="7"/>
  <c r="X29" i="7"/>
  <c r="X33" i="7"/>
  <c r="X30" i="7"/>
  <c r="X24" i="7"/>
  <c r="X37" i="7"/>
  <c r="X28" i="7"/>
  <c r="D24" i="1"/>
  <c r="D23" i="1"/>
  <c r="C22" i="1"/>
  <c r="M18" i="12" l="1"/>
  <c r="M18" i="13"/>
  <c r="L18" i="17"/>
  <c r="G18" i="17"/>
  <c r="L18" i="18"/>
  <c r="G18" i="18"/>
  <c r="L18" i="16"/>
  <c r="G18" i="16"/>
  <c r="H18" i="13"/>
  <c r="H18" i="12"/>
  <c r="L18" i="21"/>
  <c r="G18" i="21"/>
  <c r="L18" i="7"/>
  <c r="G18" i="7"/>
  <c r="K18" i="5"/>
  <c r="F18" i="5"/>
  <c r="K18" i="4"/>
  <c r="F18" i="4"/>
  <c r="K18" i="11"/>
  <c r="F18" i="11"/>
  <c r="K18" i="10"/>
  <c r="F18" i="10"/>
  <c r="K18" i="3"/>
  <c r="F18" i="3"/>
  <c r="K18" i="2"/>
  <c r="F18" i="2"/>
  <c r="L52" i="1" l="1"/>
  <c r="L51" i="1"/>
  <c r="L44" i="1"/>
  <c r="L45" i="1"/>
  <c r="L46" i="1"/>
  <c r="L47" i="1"/>
  <c r="AE16" i="17" s="1"/>
  <c r="L48" i="1"/>
  <c r="L50" i="1"/>
  <c r="L43" i="1"/>
  <c r="AE21" i="17" l="1"/>
  <c r="F21" i="17" s="1"/>
  <c r="AE24" i="17"/>
  <c r="F24" i="17" s="1"/>
  <c r="AE26" i="17"/>
  <c r="F26" i="17" s="1"/>
  <c r="AE29" i="17"/>
  <c r="F29" i="17" s="1"/>
  <c r="AE32" i="17"/>
  <c r="F32" i="17" s="1"/>
  <c r="AE34" i="17"/>
  <c r="F34" i="17" s="1"/>
  <c r="AE37" i="17"/>
  <c r="F37" i="17" s="1"/>
  <c r="AE20" i="17"/>
  <c r="AE22" i="17"/>
  <c r="F22" i="17" s="1"/>
  <c r="AE25" i="17"/>
  <c r="F25" i="17" s="1"/>
  <c r="AE28" i="17"/>
  <c r="F28" i="17" s="1"/>
  <c r="AE30" i="17"/>
  <c r="F30" i="17" s="1"/>
  <c r="AE33" i="17"/>
  <c r="F33" i="17" s="1"/>
  <c r="AE36" i="17"/>
  <c r="F36" i="17" s="1"/>
  <c r="AE38" i="17"/>
  <c r="F38" i="17" s="1"/>
  <c r="AF16" i="17"/>
  <c r="N18" i="17"/>
  <c r="M18" i="17"/>
  <c r="H18" i="17"/>
  <c r="AF16" i="18"/>
  <c r="N18" i="18"/>
  <c r="M18" i="18"/>
  <c r="H18" i="18"/>
  <c r="AF22" i="18" l="1"/>
  <c r="AF25" i="18"/>
  <c r="AF28" i="18"/>
  <c r="AF30" i="18"/>
  <c r="O30" i="18" s="1"/>
  <c r="AF33" i="18"/>
  <c r="AF36" i="18"/>
  <c r="AF38" i="18"/>
  <c r="O38" i="18" s="1"/>
  <c r="AF24" i="18"/>
  <c r="AF29" i="18"/>
  <c r="AF34" i="18"/>
  <c r="O34" i="18" s="1"/>
  <c r="AF20" i="18"/>
  <c r="AF21" i="18"/>
  <c r="O21" i="18" s="1"/>
  <c r="AF26" i="18"/>
  <c r="AF32" i="18"/>
  <c r="AF37" i="18"/>
  <c r="AF20" i="17"/>
  <c r="O20" i="17" s="1"/>
  <c r="AF21" i="17"/>
  <c r="O21" i="17" s="1"/>
  <c r="AF24" i="17"/>
  <c r="O24" i="17" s="1"/>
  <c r="AF26" i="17"/>
  <c r="O26" i="17" s="1"/>
  <c r="AF29" i="17"/>
  <c r="O29" i="17" s="1"/>
  <c r="AF32" i="17"/>
  <c r="O32" i="17" s="1"/>
  <c r="AF34" i="17"/>
  <c r="O34" i="17" s="1"/>
  <c r="AF37" i="17"/>
  <c r="O37" i="17" s="1"/>
  <c r="AF25" i="17"/>
  <c r="O25" i="17" s="1"/>
  <c r="AF28" i="17"/>
  <c r="O28" i="17" s="1"/>
  <c r="AF33" i="17"/>
  <c r="O33" i="17" s="1"/>
  <c r="AF38" i="17"/>
  <c r="O38" i="17" s="1"/>
  <c r="AF22" i="17"/>
  <c r="O22" i="17" s="1"/>
  <c r="AF30" i="17"/>
  <c r="O30" i="17" s="1"/>
  <c r="AF36" i="17"/>
  <c r="O36" i="17" s="1"/>
  <c r="O24" i="18"/>
  <c r="O26" i="18"/>
  <c r="O33" i="18"/>
  <c r="O20" i="18"/>
  <c r="O22" i="18"/>
  <c r="O25" i="18"/>
  <c r="O28" i="18"/>
  <c r="O32" i="18"/>
  <c r="O29" i="18"/>
  <c r="O36" i="18"/>
  <c r="O37" i="18"/>
  <c r="F20" i="18"/>
  <c r="F20" i="17"/>
  <c r="AF16" i="16"/>
  <c r="N18" i="16"/>
  <c r="M18" i="16"/>
  <c r="H18" i="16"/>
  <c r="AG16" i="13"/>
  <c r="O18" i="13"/>
  <c r="N18" i="13"/>
  <c r="I18" i="13"/>
  <c r="AF20" i="16" l="1"/>
  <c r="O20" i="16" s="1"/>
  <c r="AF21" i="16"/>
  <c r="O21" i="16" s="1"/>
  <c r="AF24" i="16"/>
  <c r="O24" i="16" s="1"/>
  <c r="AF26" i="16"/>
  <c r="O26" i="16" s="1"/>
  <c r="AF29" i="16"/>
  <c r="O29" i="16" s="1"/>
  <c r="AF32" i="16"/>
  <c r="O32" i="16" s="1"/>
  <c r="AF34" i="16"/>
  <c r="O34" i="16" s="1"/>
  <c r="AF37" i="16"/>
  <c r="O37" i="16" s="1"/>
  <c r="AF30" i="16"/>
  <c r="O30" i="16" s="1"/>
  <c r="AF36" i="16"/>
  <c r="O36" i="16" s="1"/>
  <c r="AF38" i="16"/>
  <c r="O38" i="16" s="1"/>
  <c r="AF22" i="16"/>
  <c r="O22" i="16" s="1"/>
  <c r="AF33" i="16"/>
  <c r="O33" i="16" s="1"/>
  <c r="AF25" i="16"/>
  <c r="O25" i="16" s="1"/>
  <c r="AF28" i="16"/>
  <c r="O28" i="16" s="1"/>
  <c r="AG22" i="13"/>
  <c r="P22" i="13" s="1"/>
  <c r="AG25" i="13"/>
  <c r="P25" i="13" s="1"/>
  <c r="AG28" i="13"/>
  <c r="P28" i="13" s="1"/>
  <c r="AG30" i="13"/>
  <c r="P30" i="13" s="1"/>
  <c r="AG33" i="13"/>
  <c r="P33" i="13" s="1"/>
  <c r="AG36" i="13"/>
  <c r="P36" i="13" s="1"/>
  <c r="AG38" i="13"/>
  <c r="P38" i="13" s="1"/>
  <c r="AG21" i="13"/>
  <c r="P21" i="13" s="1"/>
  <c r="AG26" i="13"/>
  <c r="P26" i="13" s="1"/>
  <c r="AG29" i="13"/>
  <c r="P29" i="13" s="1"/>
  <c r="AG34" i="13"/>
  <c r="P34" i="13" s="1"/>
  <c r="AG20" i="13"/>
  <c r="P20" i="13" s="1"/>
  <c r="AG24" i="13"/>
  <c r="P24" i="13" s="1"/>
  <c r="AG32" i="13"/>
  <c r="P32" i="13" s="1"/>
  <c r="AG37" i="13"/>
  <c r="P37" i="13" s="1"/>
  <c r="G20" i="13"/>
  <c r="F20" i="16"/>
  <c r="AG16" i="12"/>
  <c r="G20" i="12"/>
  <c r="O18" i="12"/>
  <c r="N18" i="12"/>
  <c r="I18" i="12"/>
  <c r="AG22" i="12" l="1"/>
  <c r="P22" i="12" s="1"/>
  <c r="AG25" i="12"/>
  <c r="P25" i="12" s="1"/>
  <c r="AG28" i="12"/>
  <c r="P28" i="12" s="1"/>
  <c r="AG30" i="12"/>
  <c r="P30" i="12" s="1"/>
  <c r="AG33" i="12"/>
  <c r="P33" i="12" s="1"/>
  <c r="AG36" i="12"/>
  <c r="P36" i="12" s="1"/>
  <c r="AG38" i="12"/>
  <c r="P38" i="12" s="1"/>
  <c r="AG20" i="12"/>
  <c r="AG21" i="12"/>
  <c r="P21" i="12" s="1"/>
  <c r="AG32" i="12"/>
  <c r="P32" i="12" s="1"/>
  <c r="AG26" i="12"/>
  <c r="P26" i="12" s="1"/>
  <c r="AG29" i="12"/>
  <c r="P29" i="12" s="1"/>
  <c r="AG24" i="12"/>
  <c r="P24" i="12" s="1"/>
  <c r="AG34" i="12"/>
  <c r="P34" i="12" s="1"/>
  <c r="AG37" i="12"/>
  <c r="P37" i="12" s="1"/>
  <c r="P20" i="12"/>
  <c r="AF16" i="21"/>
  <c r="AE16" i="21"/>
  <c r="N18" i="21"/>
  <c r="M18" i="21"/>
  <c r="H18" i="21"/>
  <c r="AH16" i="7"/>
  <c r="AG16" i="7"/>
  <c r="N18" i="7"/>
  <c r="M18" i="7"/>
  <c r="H18" i="7"/>
  <c r="AC16" i="5"/>
  <c r="AB16" i="5"/>
  <c r="M18" i="5"/>
  <c r="L18" i="5"/>
  <c r="G18" i="5"/>
  <c r="AC16" i="4"/>
  <c r="E32" i="4"/>
  <c r="M18" i="4"/>
  <c r="L18" i="4"/>
  <c r="G18" i="4"/>
  <c r="AC16" i="11"/>
  <c r="E20" i="11"/>
  <c r="M18" i="11"/>
  <c r="L18" i="11"/>
  <c r="G18" i="11"/>
  <c r="AC16" i="10"/>
  <c r="E34" i="10"/>
  <c r="AC16" i="3"/>
  <c r="E34" i="3"/>
  <c r="M18" i="10"/>
  <c r="L18" i="10"/>
  <c r="G18" i="10"/>
  <c r="M18" i="3"/>
  <c r="L18" i="3"/>
  <c r="G18" i="3"/>
  <c r="AC22" i="3" l="1"/>
  <c r="N22" i="3" s="1"/>
  <c r="AC26" i="3"/>
  <c r="N26" i="3" s="1"/>
  <c r="AC30" i="3"/>
  <c r="N30" i="3" s="1"/>
  <c r="AC34" i="3"/>
  <c r="N34" i="3" s="1"/>
  <c r="AC20" i="3"/>
  <c r="N20" i="3" s="1"/>
  <c r="AC28" i="3"/>
  <c r="AC24" i="3"/>
  <c r="N24" i="3" s="1"/>
  <c r="AC32" i="3"/>
  <c r="AC22" i="4"/>
  <c r="N22" i="4" s="1"/>
  <c r="AC26" i="4"/>
  <c r="N26" i="4" s="1"/>
  <c r="AC30" i="4"/>
  <c r="AC34" i="4"/>
  <c r="N34" i="4" s="1"/>
  <c r="AC20" i="4"/>
  <c r="AC28" i="4"/>
  <c r="AC24" i="4"/>
  <c r="AC32" i="4"/>
  <c r="N32" i="4" s="1"/>
  <c r="AB22" i="5"/>
  <c r="E22" i="5" s="1"/>
  <c r="AB26" i="5"/>
  <c r="AB30" i="5"/>
  <c r="E30" i="5" s="1"/>
  <c r="AB34" i="5"/>
  <c r="AB24" i="5"/>
  <c r="E24" i="5" s="1"/>
  <c r="AB28" i="5"/>
  <c r="AB32" i="5"/>
  <c r="AB20" i="5"/>
  <c r="AC22" i="5"/>
  <c r="AC26" i="5"/>
  <c r="AC30" i="5"/>
  <c r="AC34" i="5"/>
  <c r="N34" i="5" s="1"/>
  <c r="AC20" i="5"/>
  <c r="AC28" i="5"/>
  <c r="N28" i="5" s="1"/>
  <c r="AC24" i="5"/>
  <c r="AC32" i="5"/>
  <c r="N32" i="5" s="1"/>
  <c r="AG22" i="7"/>
  <c r="F22" i="7" s="1"/>
  <c r="AG25" i="7"/>
  <c r="F25" i="7" s="1"/>
  <c r="AG28" i="7"/>
  <c r="F28" i="7" s="1"/>
  <c r="AG30" i="7"/>
  <c r="F30" i="7" s="1"/>
  <c r="AG33" i="7"/>
  <c r="F33" i="7" s="1"/>
  <c r="AG36" i="7"/>
  <c r="F36" i="7" s="1"/>
  <c r="AG38" i="7"/>
  <c r="F38" i="7" s="1"/>
  <c r="AG21" i="7"/>
  <c r="F21" i="7" s="1"/>
  <c r="AG24" i="7"/>
  <c r="F24" i="7" s="1"/>
  <c r="AG26" i="7"/>
  <c r="F26" i="7" s="1"/>
  <c r="AG29" i="7"/>
  <c r="F29" i="7" s="1"/>
  <c r="AG32" i="7"/>
  <c r="F32" i="7" s="1"/>
  <c r="AG34" i="7"/>
  <c r="F34" i="7" s="1"/>
  <c r="AG37" i="7"/>
  <c r="F37" i="7" s="1"/>
  <c r="AG20" i="7"/>
  <c r="AC22" i="10"/>
  <c r="AC26" i="10"/>
  <c r="AC30" i="10"/>
  <c r="AC34" i="10"/>
  <c r="N34" i="10" s="1"/>
  <c r="AC20" i="10"/>
  <c r="AC28" i="10"/>
  <c r="AC24" i="10"/>
  <c r="AC32" i="10"/>
  <c r="N32" i="10" s="1"/>
  <c r="AH22" i="7"/>
  <c r="O22" i="7" s="1"/>
  <c r="AH25" i="7"/>
  <c r="O25" i="7" s="1"/>
  <c r="AH28" i="7"/>
  <c r="O28" i="7" s="1"/>
  <c r="AH30" i="7"/>
  <c r="O30" i="7" s="1"/>
  <c r="AH33" i="7"/>
  <c r="O33" i="7" s="1"/>
  <c r="AH36" i="7"/>
  <c r="O36" i="7" s="1"/>
  <c r="AH38" i="7"/>
  <c r="O38" i="7" s="1"/>
  <c r="AH20" i="7"/>
  <c r="O20" i="7" s="1"/>
  <c r="AH24" i="7"/>
  <c r="O24" i="7" s="1"/>
  <c r="AH34" i="7"/>
  <c r="O34" i="7" s="1"/>
  <c r="AH29" i="7"/>
  <c r="O29" i="7" s="1"/>
  <c r="AH21" i="7"/>
  <c r="O21" i="7" s="1"/>
  <c r="AH32" i="7"/>
  <c r="O32" i="7" s="1"/>
  <c r="AH26" i="7"/>
  <c r="O26" i="7" s="1"/>
  <c r="AH37" i="7"/>
  <c r="O37" i="7" s="1"/>
  <c r="AE21" i="21"/>
  <c r="F21" i="21" s="1"/>
  <c r="AE24" i="21"/>
  <c r="F24" i="21" s="1"/>
  <c r="AE26" i="21"/>
  <c r="F26" i="21" s="1"/>
  <c r="AE29" i="21"/>
  <c r="F29" i="21" s="1"/>
  <c r="AE32" i="21"/>
  <c r="F32" i="21" s="1"/>
  <c r="AE34" i="21"/>
  <c r="F34" i="21" s="1"/>
  <c r="AE37" i="21"/>
  <c r="F37" i="21" s="1"/>
  <c r="AE20" i="21"/>
  <c r="F20" i="21" s="1"/>
  <c r="AE22" i="21"/>
  <c r="F22" i="21" s="1"/>
  <c r="AE25" i="21"/>
  <c r="F25" i="21" s="1"/>
  <c r="AE28" i="21"/>
  <c r="F28" i="21" s="1"/>
  <c r="AE30" i="21"/>
  <c r="F30" i="21" s="1"/>
  <c r="AE33" i="21"/>
  <c r="F33" i="21" s="1"/>
  <c r="AE36" i="21"/>
  <c r="F36" i="21" s="1"/>
  <c r="AE38" i="21"/>
  <c r="F38" i="21" s="1"/>
  <c r="AC22" i="11"/>
  <c r="AC26" i="11"/>
  <c r="N26" i="11" s="1"/>
  <c r="AC30" i="11"/>
  <c r="N30" i="11" s="1"/>
  <c r="AC34" i="11"/>
  <c r="N34" i="11" s="1"/>
  <c r="AC20" i="11"/>
  <c r="AC28" i="11"/>
  <c r="AC24" i="11"/>
  <c r="N24" i="11" s="1"/>
  <c r="AC32" i="11"/>
  <c r="AF20" i="21"/>
  <c r="AF21" i="21"/>
  <c r="O21" i="21" s="1"/>
  <c r="AF24" i="21"/>
  <c r="O24" i="21" s="1"/>
  <c r="AF26" i="21"/>
  <c r="O26" i="21" s="1"/>
  <c r="AF29" i="21"/>
  <c r="O29" i="21" s="1"/>
  <c r="AF32" i="21"/>
  <c r="O32" i="21" s="1"/>
  <c r="AF34" i="21"/>
  <c r="O34" i="21" s="1"/>
  <c r="AF37" i="21"/>
  <c r="O37" i="21" s="1"/>
  <c r="AF22" i="21"/>
  <c r="O22" i="21" s="1"/>
  <c r="AF33" i="21"/>
  <c r="O33" i="21" s="1"/>
  <c r="AF28" i="21"/>
  <c r="O28" i="21" s="1"/>
  <c r="AF30" i="21"/>
  <c r="O30" i="21" s="1"/>
  <c r="AF25" i="21"/>
  <c r="O25" i="21" s="1"/>
  <c r="AF36" i="21"/>
  <c r="O36" i="21" s="1"/>
  <c r="AF38" i="21"/>
  <c r="O38" i="21" s="1"/>
  <c r="N32" i="11"/>
  <c r="N20" i="10"/>
  <c r="N20" i="11"/>
  <c r="N20" i="4"/>
  <c r="N20" i="5"/>
  <c r="E34" i="11"/>
  <c r="E34" i="5"/>
  <c r="E20" i="10"/>
  <c r="E34" i="4"/>
  <c r="E28" i="5"/>
  <c r="E20" i="5"/>
  <c r="F20" i="7"/>
  <c r="E20" i="4"/>
  <c r="E32" i="5"/>
  <c r="O20" i="21"/>
  <c r="N24" i="5"/>
  <c r="E26" i="5"/>
  <c r="N22" i="5"/>
  <c r="N26" i="5"/>
  <c r="N30" i="5"/>
  <c r="E24" i="4"/>
  <c r="E28" i="4"/>
  <c r="N24" i="4"/>
  <c r="N28" i="4"/>
  <c r="E22" i="4"/>
  <c r="E26" i="4"/>
  <c r="E30" i="4"/>
  <c r="N30" i="4"/>
  <c r="N22" i="11"/>
  <c r="E24" i="11"/>
  <c r="E28" i="11"/>
  <c r="E32" i="11"/>
  <c r="N28" i="11"/>
  <c r="E22" i="11"/>
  <c r="E26" i="11"/>
  <c r="E30" i="11"/>
  <c r="E20" i="3"/>
  <c r="E24" i="10"/>
  <c r="E28" i="10"/>
  <c r="E32" i="10"/>
  <c r="N24" i="10"/>
  <c r="N28" i="10"/>
  <c r="E22" i="10"/>
  <c r="E26" i="10"/>
  <c r="E30" i="10"/>
  <c r="N22" i="10"/>
  <c r="N26" i="10"/>
  <c r="N30" i="10"/>
  <c r="E24" i="3"/>
  <c r="E28" i="3"/>
  <c r="E32" i="3"/>
  <c r="N28" i="3"/>
  <c r="N32" i="3"/>
  <c r="E22" i="3"/>
  <c r="E26" i="3"/>
  <c r="E30" i="3"/>
  <c r="L18" i="2"/>
  <c r="G18" i="2"/>
  <c r="AC16" i="2" l="1"/>
  <c r="AB16" i="2"/>
  <c r="G53" i="1"/>
  <c r="AC22" i="2" l="1"/>
  <c r="AC26" i="2"/>
  <c r="AC30" i="2"/>
  <c r="AC34" i="2"/>
  <c r="AC20" i="2"/>
  <c r="N20" i="2" s="1"/>
  <c r="AC28" i="2"/>
  <c r="N28" i="2" s="1"/>
  <c r="AC32" i="2"/>
  <c r="AC24" i="2"/>
  <c r="N24" i="2" s="1"/>
  <c r="AB22" i="2"/>
  <c r="AB26" i="2"/>
  <c r="E26" i="2" s="1"/>
  <c r="AB30" i="2"/>
  <c r="AB34" i="2"/>
  <c r="AB24" i="2"/>
  <c r="E24" i="2" s="1"/>
  <c r="AB28" i="2"/>
  <c r="E28" i="2" s="1"/>
  <c r="AB32" i="2"/>
  <c r="AB20" i="2"/>
  <c r="N26" i="2"/>
  <c r="N30" i="2"/>
  <c r="N34" i="2"/>
  <c r="N32" i="2"/>
  <c r="E30" i="2"/>
  <c r="E20" i="2"/>
  <c r="E34" i="2"/>
  <c r="E32" i="2"/>
  <c r="E10" i="1"/>
  <c r="E7" i="1"/>
  <c r="E6" i="1"/>
  <c r="D10" i="1"/>
  <c r="D7" i="1"/>
  <c r="D6" i="1"/>
  <c r="C5" i="1"/>
  <c r="I19" i="8" l="1"/>
  <c r="Q8" i="18" s="1"/>
  <c r="I20" i="8"/>
  <c r="Q8" i="17" s="1"/>
  <c r="E23" i="1" l="1"/>
  <c r="N43" i="1" l="1"/>
  <c r="J51" i="1" l="1"/>
  <c r="K51" i="1"/>
  <c r="J47" i="1"/>
  <c r="W11" i="17" s="1"/>
  <c r="K47" i="1"/>
  <c r="W12" i="17" s="1"/>
  <c r="J48" i="1"/>
  <c r="W11" i="21" s="1"/>
  <c r="K48" i="1"/>
  <c r="W12" i="21" s="1"/>
  <c r="J49" i="1"/>
  <c r="J50" i="1"/>
  <c r="W11" i="18" s="1"/>
  <c r="K50" i="1"/>
  <c r="V12" i="2"/>
  <c r="J43" i="1"/>
  <c r="V11" i="2" s="1"/>
  <c r="I22" i="2" s="1"/>
  <c r="I43" i="1"/>
  <c r="V10" i="2" s="1"/>
  <c r="H22" i="2" s="1"/>
  <c r="E24" i="1"/>
  <c r="J26" i="18" l="1"/>
  <c r="J24" i="18"/>
  <c r="J36" i="18"/>
  <c r="J20" i="18"/>
  <c r="J33" i="18"/>
  <c r="J38" i="18"/>
  <c r="J37" i="18"/>
  <c r="J29" i="18"/>
  <c r="J25" i="18"/>
  <c r="J22" i="18"/>
  <c r="J30" i="18"/>
  <c r="J21" i="18"/>
  <c r="J32" i="18"/>
  <c r="J28" i="18"/>
  <c r="J34" i="18"/>
  <c r="K24" i="17"/>
  <c r="K29" i="17"/>
  <c r="K34" i="17"/>
  <c r="K22" i="17"/>
  <c r="K28" i="17"/>
  <c r="K33" i="17"/>
  <c r="K38" i="17"/>
  <c r="K25" i="17"/>
  <c r="K36" i="17"/>
  <c r="K26" i="17"/>
  <c r="K37" i="17"/>
  <c r="K30" i="17"/>
  <c r="K20" i="17"/>
  <c r="K21" i="17"/>
  <c r="K32" i="17"/>
  <c r="J22" i="17"/>
  <c r="J28" i="17"/>
  <c r="J33" i="17"/>
  <c r="J38" i="17"/>
  <c r="J21" i="17"/>
  <c r="J26" i="17"/>
  <c r="J32" i="17"/>
  <c r="J37" i="17"/>
  <c r="J29" i="17"/>
  <c r="J20" i="17"/>
  <c r="J30" i="17"/>
  <c r="J24" i="17"/>
  <c r="J34" i="17"/>
  <c r="J25" i="17"/>
  <c r="J36" i="17"/>
  <c r="K37" i="21"/>
  <c r="K29" i="21"/>
  <c r="K36" i="21"/>
  <c r="K22" i="21"/>
  <c r="K20" i="21"/>
  <c r="K34" i="21"/>
  <c r="K25" i="21"/>
  <c r="K38" i="21"/>
  <c r="K33" i="21"/>
  <c r="K26" i="21"/>
  <c r="K30" i="21"/>
  <c r="K24" i="21"/>
  <c r="K21" i="21"/>
  <c r="K32" i="21"/>
  <c r="K28" i="21"/>
  <c r="J37" i="21"/>
  <c r="J30" i="21"/>
  <c r="J33" i="21"/>
  <c r="J29" i="21"/>
  <c r="J22" i="21"/>
  <c r="J20" i="21"/>
  <c r="J36" i="21"/>
  <c r="J32" i="21"/>
  <c r="J24" i="21"/>
  <c r="J25" i="21"/>
  <c r="J38" i="21"/>
  <c r="J34" i="21"/>
  <c r="J28" i="21"/>
  <c r="J26" i="21"/>
  <c r="J21" i="21"/>
  <c r="J32" i="2"/>
  <c r="J24" i="2"/>
  <c r="J30" i="2"/>
  <c r="J28" i="2"/>
  <c r="J20" i="2"/>
  <c r="J34" i="2"/>
  <c r="J26" i="2"/>
  <c r="C36" i="8" l="1"/>
  <c r="Q9" i="21" s="1"/>
  <c r="N52" i="1" l="1"/>
  <c r="N51" i="1"/>
  <c r="K52" i="1"/>
  <c r="I51" i="1"/>
  <c r="N49" i="1"/>
  <c r="N48" i="1"/>
  <c r="N47" i="1"/>
  <c r="J52" i="1"/>
  <c r="I52" i="1"/>
  <c r="H53" i="1"/>
  <c r="F53" i="1"/>
  <c r="E53" i="1"/>
  <c r="D53" i="1"/>
  <c r="C53" i="1"/>
  <c r="AA18" i="21" l="1"/>
  <c r="V18" i="21"/>
  <c r="AB18" i="21"/>
  <c r="W18" i="21"/>
  <c r="A44" i="21"/>
  <c r="A9" i="21"/>
  <c r="A8" i="21"/>
  <c r="Q7" i="21"/>
  <c r="A7" i="21"/>
  <c r="A4" i="21"/>
  <c r="A3" i="21"/>
  <c r="A2" i="21"/>
  <c r="A1" i="21"/>
  <c r="V20" i="17"/>
  <c r="X18" i="17"/>
  <c r="W18" i="17"/>
  <c r="AA20" i="18"/>
  <c r="W18" i="18"/>
  <c r="AC18" i="18"/>
  <c r="AB18" i="18"/>
  <c r="X18" i="18"/>
  <c r="V20" i="18"/>
  <c r="I50" i="1"/>
  <c r="W10" i="18" s="1"/>
  <c r="A44" i="18"/>
  <c r="Q9" i="18"/>
  <c r="A9" i="18"/>
  <c r="A8" i="18"/>
  <c r="Q7" i="18"/>
  <c r="A7" i="18"/>
  <c r="A4" i="18"/>
  <c r="A3" i="18"/>
  <c r="A2" i="18"/>
  <c r="A1" i="18"/>
  <c r="W21" i="17" l="1"/>
  <c r="W26" i="17"/>
  <c r="W32" i="17"/>
  <c r="W37" i="17"/>
  <c r="W22" i="17"/>
  <c r="W28" i="17"/>
  <c r="W33" i="17"/>
  <c r="W38" i="17"/>
  <c r="W25" i="17"/>
  <c r="W36" i="17"/>
  <c r="W29" i="17"/>
  <c r="W20" i="17"/>
  <c r="W30" i="17"/>
  <c r="W24" i="17"/>
  <c r="W34" i="17"/>
  <c r="W32" i="21"/>
  <c r="W26" i="21"/>
  <c r="W21" i="21"/>
  <c r="W28" i="21"/>
  <c r="Y28" i="21" s="1"/>
  <c r="D28" i="21" s="1"/>
  <c r="W34" i="21"/>
  <c r="Y34" i="21" s="1"/>
  <c r="D34" i="21" s="1"/>
  <c r="W36" i="21"/>
  <c r="W30" i="21"/>
  <c r="W20" i="21"/>
  <c r="W38" i="21"/>
  <c r="W25" i="21"/>
  <c r="W37" i="21"/>
  <c r="Y37" i="21" s="1"/>
  <c r="D37" i="21" s="1"/>
  <c r="W22" i="21"/>
  <c r="Y22" i="21" s="1"/>
  <c r="D22" i="21" s="1"/>
  <c r="W33" i="21"/>
  <c r="Y33" i="21" s="1"/>
  <c r="D33" i="21" s="1"/>
  <c r="W29" i="21"/>
  <c r="W24" i="21"/>
  <c r="I25" i="18"/>
  <c r="I22" i="18"/>
  <c r="I20" i="18"/>
  <c r="I37" i="18"/>
  <c r="I32" i="18"/>
  <c r="I28" i="18"/>
  <c r="I21" i="18"/>
  <c r="I34" i="18"/>
  <c r="I24" i="18"/>
  <c r="I30" i="18"/>
  <c r="I26" i="18"/>
  <c r="I29" i="18"/>
  <c r="I38" i="18"/>
  <c r="I36" i="18"/>
  <c r="I33" i="18"/>
  <c r="X33" i="17"/>
  <c r="X30" i="17"/>
  <c r="X24" i="17"/>
  <c r="X37" i="17"/>
  <c r="X34" i="17"/>
  <c r="X28" i="17"/>
  <c r="X21" i="17"/>
  <c r="X36" i="17"/>
  <c r="X26" i="17"/>
  <c r="X32" i="17"/>
  <c r="X22" i="17"/>
  <c r="X29" i="17"/>
  <c r="X20" i="17"/>
  <c r="X25" i="17"/>
  <c r="X38" i="17"/>
  <c r="AB37" i="21"/>
  <c r="AB24" i="21"/>
  <c r="AB36" i="21"/>
  <c r="AB28" i="21"/>
  <c r="AD28" i="21" s="1"/>
  <c r="E28" i="21" s="1"/>
  <c r="AB29" i="21"/>
  <c r="AB26" i="21"/>
  <c r="AB32" i="21"/>
  <c r="AD32" i="21" s="1"/>
  <c r="E32" i="21" s="1"/>
  <c r="AB33" i="21"/>
  <c r="AD33" i="21" s="1"/>
  <c r="E33" i="21" s="1"/>
  <c r="AB20" i="21"/>
  <c r="AB34" i="21"/>
  <c r="AB25" i="21"/>
  <c r="AD25" i="21" s="1"/>
  <c r="E25" i="21" s="1"/>
  <c r="AB38" i="21"/>
  <c r="AD38" i="21" s="1"/>
  <c r="E38" i="21" s="1"/>
  <c r="AB21" i="21"/>
  <c r="AB30" i="21"/>
  <c r="AB22" i="21"/>
  <c r="V24" i="17"/>
  <c r="Y24" i="17" s="1"/>
  <c r="D24" i="17" s="1"/>
  <c r="V29" i="17"/>
  <c r="V34" i="17"/>
  <c r="V21" i="17"/>
  <c r="V25" i="17"/>
  <c r="V30" i="17"/>
  <c r="V36" i="17"/>
  <c r="V28" i="17"/>
  <c r="V38" i="17"/>
  <c r="V32" i="17"/>
  <c r="V22" i="17"/>
  <c r="V33" i="17"/>
  <c r="V37" i="17"/>
  <c r="V26" i="17"/>
  <c r="V21" i="21"/>
  <c r="V26" i="21"/>
  <c r="V32" i="21"/>
  <c r="V37" i="21"/>
  <c r="V22" i="21"/>
  <c r="V29" i="21"/>
  <c r="V36" i="21"/>
  <c r="V28" i="21"/>
  <c r="V24" i="21"/>
  <c r="V30" i="21"/>
  <c r="V38" i="21"/>
  <c r="V34" i="21"/>
  <c r="V25" i="21"/>
  <c r="V33" i="21"/>
  <c r="V20" i="21"/>
  <c r="Y20" i="21" s="1"/>
  <c r="D20" i="21" s="1"/>
  <c r="AA25" i="21"/>
  <c r="AA30" i="21"/>
  <c r="AA36" i="21"/>
  <c r="AA22" i="21"/>
  <c r="AA28" i="21"/>
  <c r="AA34" i="21"/>
  <c r="AA26" i="21"/>
  <c r="AA20" i="21"/>
  <c r="AD20" i="21" s="1"/>
  <c r="AA21" i="21"/>
  <c r="AA29" i="21"/>
  <c r="AA37" i="21"/>
  <c r="AA24" i="21"/>
  <c r="AA32" i="21"/>
  <c r="AA38" i="21"/>
  <c r="AA33" i="21"/>
  <c r="AB25" i="18"/>
  <c r="AB32" i="18"/>
  <c r="AB20" i="18"/>
  <c r="AB21" i="18"/>
  <c r="AB26" i="18"/>
  <c r="AB33" i="18"/>
  <c r="AB22" i="18"/>
  <c r="AB28" i="18"/>
  <c r="AB37" i="18"/>
  <c r="AB24" i="18"/>
  <c r="AB30" i="18"/>
  <c r="AB38" i="18"/>
  <c r="AB34" i="18"/>
  <c r="AB36" i="18"/>
  <c r="AB29" i="18"/>
  <c r="AC36" i="18"/>
  <c r="AC29" i="18"/>
  <c r="AC26" i="18"/>
  <c r="AC20" i="18"/>
  <c r="AC33" i="18"/>
  <c r="AC30" i="18"/>
  <c r="AC24" i="18"/>
  <c r="AC37" i="18"/>
  <c r="AC34" i="18"/>
  <c r="AC28" i="18"/>
  <c r="AC21" i="18"/>
  <c r="AC38" i="18"/>
  <c r="AC32" i="18"/>
  <c r="AC25" i="18"/>
  <c r="AC22" i="18"/>
  <c r="V25" i="18"/>
  <c r="V30" i="18"/>
  <c r="V36" i="18"/>
  <c r="V26" i="18"/>
  <c r="V32" i="18"/>
  <c r="V37" i="18"/>
  <c r="V22" i="18"/>
  <c r="V28" i="18"/>
  <c r="V33" i="18"/>
  <c r="V38" i="18"/>
  <c r="V24" i="18"/>
  <c r="V29" i="18"/>
  <c r="V34" i="18"/>
  <c r="V21" i="18"/>
  <c r="W24" i="18"/>
  <c r="W29" i="18"/>
  <c r="W38" i="18"/>
  <c r="W25" i="18"/>
  <c r="W32" i="18"/>
  <c r="W20" i="18"/>
  <c r="W21" i="18"/>
  <c r="W26" i="18"/>
  <c r="W33" i="18"/>
  <c r="W22" i="18"/>
  <c r="W28" i="18"/>
  <c r="W34" i="18"/>
  <c r="W30" i="18"/>
  <c r="W36" i="18"/>
  <c r="W37" i="18"/>
  <c r="X38" i="18"/>
  <c r="X32" i="18"/>
  <c r="X25" i="18"/>
  <c r="X22" i="18"/>
  <c r="X36" i="18"/>
  <c r="X29" i="18"/>
  <c r="X26" i="18"/>
  <c r="X20" i="18"/>
  <c r="X33" i="18"/>
  <c r="X30" i="18"/>
  <c r="X24" i="18"/>
  <c r="X37" i="18"/>
  <c r="X34" i="18"/>
  <c r="X28" i="18"/>
  <c r="X21" i="18"/>
  <c r="AA26" i="18"/>
  <c r="AA32" i="18"/>
  <c r="AD32" i="18" s="1"/>
  <c r="E32" i="18" s="1"/>
  <c r="M32" i="18" s="1"/>
  <c r="P32" i="18" s="1"/>
  <c r="AA37" i="18"/>
  <c r="AD37" i="18" s="1"/>
  <c r="E37" i="18" s="1"/>
  <c r="AA22" i="18"/>
  <c r="AA28" i="18"/>
  <c r="AA33" i="18"/>
  <c r="AD33" i="18" s="1"/>
  <c r="E33" i="18" s="1"/>
  <c r="AA38" i="18"/>
  <c r="AA24" i="18"/>
  <c r="AA29" i="18"/>
  <c r="AA34" i="18"/>
  <c r="AA21" i="18"/>
  <c r="AA25" i="18"/>
  <c r="AA30" i="18"/>
  <c r="AA36" i="18"/>
  <c r="Y20" i="18"/>
  <c r="D20" i="18" s="1"/>
  <c r="G38" i="21" l="1"/>
  <c r="H38" i="21" s="1"/>
  <c r="G33" i="21"/>
  <c r="H33" i="21" s="1"/>
  <c r="G28" i="21"/>
  <c r="H28" i="21" s="1"/>
  <c r="Y38" i="21"/>
  <c r="D38" i="21" s="1"/>
  <c r="Y32" i="21"/>
  <c r="D32" i="21" s="1"/>
  <c r="Y38" i="17"/>
  <c r="D38" i="17" s="1"/>
  <c r="Y37" i="17"/>
  <c r="D37" i="17" s="1"/>
  <c r="Y21" i="17"/>
  <c r="D21" i="17" s="1"/>
  <c r="AD22" i="21"/>
  <c r="E22" i="21" s="1"/>
  <c r="G25" i="21"/>
  <c r="H25" i="21" s="1"/>
  <c r="G32" i="21"/>
  <c r="H32" i="21" s="1"/>
  <c r="AD36" i="21"/>
  <c r="E36" i="21" s="1"/>
  <c r="Y33" i="17"/>
  <c r="D33" i="17" s="1"/>
  <c r="Y32" i="17"/>
  <c r="D32" i="17" s="1"/>
  <c r="AD26" i="18"/>
  <c r="E26" i="18" s="1"/>
  <c r="M26" i="18" s="1"/>
  <c r="P26" i="18" s="1"/>
  <c r="Y22" i="17"/>
  <c r="D22" i="17" s="1"/>
  <c r="Y34" i="17"/>
  <c r="D34" i="17" s="1"/>
  <c r="AD30" i="21"/>
  <c r="E30" i="21" s="1"/>
  <c r="AD34" i="21"/>
  <c r="E34" i="21" s="1"/>
  <c r="AD26" i="21"/>
  <c r="E26" i="21" s="1"/>
  <c r="AD24" i="21"/>
  <c r="E24" i="21" s="1"/>
  <c r="Y24" i="21"/>
  <c r="D24" i="21" s="1"/>
  <c r="Y30" i="21"/>
  <c r="D30" i="21" s="1"/>
  <c r="Y21" i="21"/>
  <c r="D21" i="21" s="1"/>
  <c r="Y36" i="17"/>
  <c r="D36" i="17" s="1"/>
  <c r="Y28" i="17"/>
  <c r="D28" i="17" s="1"/>
  <c r="AD25" i="18"/>
  <c r="E25" i="18" s="1"/>
  <c r="M25" i="18" s="1"/>
  <c r="Y26" i="17"/>
  <c r="D26" i="17" s="1"/>
  <c r="Y30" i="17"/>
  <c r="D30" i="17" s="1"/>
  <c r="Y29" i="17"/>
  <c r="D29" i="17" s="1"/>
  <c r="AD21" i="21"/>
  <c r="E21" i="21" s="1"/>
  <c r="AD29" i="21"/>
  <c r="E29" i="21" s="1"/>
  <c r="AD37" i="21"/>
  <c r="E37" i="21" s="1"/>
  <c r="G37" i="21" s="1"/>
  <c r="H37" i="21" s="1"/>
  <c r="Y29" i="21"/>
  <c r="D29" i="21" s="1"/>
  <c r="Y25" i="21"/>
  <c r="D25" i="21" s="1"/>
  <c r="Y36" i="21"/>
  <c r="D36" i="21" s="1"/>
  <c r="Y26" i="21"/>
  <c r="D26" i="21" s="1"/>
  <c r="Y25" i="17"/>
  <c r="D25" i="17" s="1"/>
  <c r="AD21" i="18"/>
  <c r="E21" i="18" s="1"/>
  <c r="AD38" i="18"/>
  <c r="E38" i="18" s="1"/>
  <c r="M38" i="18" s="1"/>
  <c r="P38" i="18" s="1"/>
  <c r="M33" i="18"/>
  <c r="Y38" i="18"/>
  <c r="D38" i="18" s="1"/>
  <c r="Y37" i="18"/>
  <c r="D37" i="18" s="1"/>
  <c r="L37" i="18" s="1"/>
  <c r="Y30" i="18"/>
  <c r="D30" i="18" s="1"/>
  <c r="L30" i="18" s="1"/>
  <c r="AD28" i="18"/>
  <c r="E28" i="18" s="1"/>
  <c r="Y21" i="18"/>
  <c r="D21" i="18" s="1"/>
  <c r="L21" i="18" s="1"/>
  <c r="Y34" i="18"/>
  <c r="D34" i="18" s="1"/>
  <c r="Y33" i="18"/>
  <c r="D33" i="18" s="1"/>
  <c r="L33" i="18" s="1"/>
  <c r="Y32" i="18"/>
  <c r="D32" i="18" s="1"/>
  <c r="Y25" i="18"/>
  <c r="D25" i="18" s="1"/>
  <c r="L25" i="18" s="1"/>
  <c r="AD29" i="18"/>
  <c r="E29" i="18" s="1"/>
  <c r="AD30" i="18"/>
  <c r="E30" i="18" s="1"/>
  <c r="AD22" i="18"/>
  <c r="E22" i="18" s="1"/>
  <c r="Y29" i="18"/>
  <c r="D29" i="18" s="1"/>
  <c r="L29" i="18" s="1"/>
  <c r="Y28" i="18"/>
  <c r="D28" i="18" s="1"/>
  <c r="L28" i="18" s="1"/>
  <c r="Y26" i="18"/>
  <c r="D26" i="18" s="1"/>
  <c r="AD36" i="18"/>
  <c r="E36" i="18" s="1"/>
  <c r="AD24" i="18"/>
  <c r="E24" i="18" s="1"/>
  <c r="M21" i="18"/>
  <c r="M37" i="18"/>
  <c r="Y24" i="18"/>
  <c r="D24" i="18" s="1"/>
  <c r="L24" i="18" s="1"/>
  <c r="Y22" i="18"/>
  <c r="D22" i="18" s="1"/>
  <c r="L22" i="18" s="1"/>
  <c r="Y36" i="18"/>
  <c r="D36" i="18" s="1"/>
  <c r="L36" i="18" s="1"/>
  <c r="AD34" i="18"/>
  <c r="E34" i="18" s="1"/>
  <c r="M34" i="18" s="1"/>
  <c r="P34" i="18" s="1"/>
  <c r="E20" i="21"/>
  <c r="G20" i="21" s="1"/>
  <c r="H20" i="21" s="1"/>
  <c r="AD20" i="18"/>
  <c r="G24" i="21" l="1"/>
  <c r="H24" i="21" s="1"/>
  <c r="G30" i="21"/>
  <c r="H30" i="21" s="1"/>
  <c r="G36" i="21"/>
  <c r="H36" i="21" s="1"/>
  <c r="G29" i="21"/>
  <c r="H29" i="21" s="1"/>
  <c r="G22" i="21"/>
  <c r="H22" i="21" s="1"/>
  <c r="G21" i="21"/>
  <c r="H21" i="21" s="1"/>
  <c r="G26" i="21"/>
  <c r="H26" i="21" s="1"/>
  <c r="G37" i="18"/>
  <c r="H37" i="18" s="1"/>
  <c r="G34" i="21"/>
  <c r="H34" i="21" s="1"/>
  <c r="G21" i="18"/>
  <c r="H21" i="18" s="1"/>
  <c r="G25" i="18"/>
  <c r="H25" i="18" s="1"/>
  <c r="G22" i="18"/>
  <c r="H22" i="18" s="1"/>
  <c r="M22" i="18"/>
  <c r="P22" i="18" s="1"/>
  <c r="Q22" i="18" s="1"/>
  <c r="G32" i="18"/>
  <c r="H32" i="18" s="1"/>
  <c r="L32" i="18"/>
  <c r="G38" i="18"/>
  <c r="H38" i="18" s="1"/>
  <c r="L38" i="18"/>
  <c r="P37" i="18"/>
  <c r="Q37" i="18" s="1"/>
  <c r="N37" i="18"/>
  <c r="G24" i="18"/>
  <c r="H24" i="18" s="1"/>
  <c r="M24" i="18"/>
  <c r="P24" i="18" s="1"/>
  <c r="Q24" i="18" s="1"/>
  <c r="M30" i="18"/>
  <c r="G30" i="18"/>
  <c r="H30" i="18" s="1"/>
  <c r="M28" i="18"/>
  <c r="G28" i="18"/>
  <c r="H28" i="18" s="1"/>
  <c r="G36" i="18"/>
  <c r="H36" i="18" s="1"/>
  <c r="M36" i="18"/>
  <c r="P25" i="18"/>
  <c r="Q25" i="18" s="1"/>
  <c r="N25" i="18"/>
  <c r="M29" i="18"/>
  <c r="G29" i="18"/>
  <c r="H29" i="18" s="1"/>
  <c r="G34" i="18"/>
  <c r="H34" i="18" s="1"/>
  <c r="L34" i="18"/>
  <c r="N34" i="18" s="1"/>
  <c r="P33" i="18"/>
  <c r="Q33" i="18" s="1"/>
  <c r="N33" i="18"/>
  <c r="P21" i="18"/>
  <c r="Q21" i="18" s="1"/>
  <c r="N21" i="18"/>
  <c r="G26" i="18"/>
  <c r="H26" i="18" s="1"/>
  <c r="L26" i="18"/>
  <c r="G33" i="18"/>
  <c r="H33" i="18" s="1"/>
  <c r="E20" i="18"/>
  <c r="G20" i="18" s="1"/>
  <c r="H20" i="18" s="1"/>
  <c r="N24" i="18" l="1"/>
  <c r="N22" i="18"/>
  <c r="P30" i="18"/>
  <c r="Q30" i="18" s="1"/>
  <c r="N30" i="18"/>
  <c r="N38" i="18"/>
  <c r="Q38" i="18"/>
  <c r="P36" i="18"/>
  <c r="Q36" i="18" s="1"/>
  <c r="N36" i="18"/>
  <c r="P28" i="18"/>
  <c r="Q28" i="18" s="1"/>
  <c r="N28" i="18"/>
  <c r="N26" i="18"/>
  <c r="Q26" i="18"/>
  <c r="N29" i="18"/>
  <c r="P29" i="18"/>
  <c r="Q29" i="18" s="1"/>
  <c r="N32" i="18"/>
  <c r="Q32" i="18"/>
  <c r="Q34" i="18"/>
  <c r="AA20" i="17"/>
  <c r="AA26" i="17" l="1"/>
  <c r="AA32" i="17"/>
  <c r="AA37" i="17"/>
  <c r="AA22" i="17"/>
  <c r="AA28" i="17"/>
  <c r="AA33" i="17"/>
  <c r="AA38" i="17"/>
  <c r="AA30" i="17"/>
  <c r="AA24" i="17"/>
  <c r="AA34" i="17"/>
  <c r="AA25" i="17"/>
  <c r="AA36" i="17"/>
  <c r="AA29" i="17"/>
  <c r="AA21" i="17"/>
  <c r="N50" i="1"/>
  <c r="W12" i="7" l="1"/>
  <c r="K24" i="7" l="1"/>
  <c r="K29" i="7"/>
  <c r="K25" i="7"/>
  <c r="K32" i="7"/>
  <c r="K33" i="7"/>
  <c r="K30" i="7"/>
  <c r="K36" i="7"/>
  <c r="K26" i="7"/>
  <c r="K20" i="7"/>
  <c r="K21" i="7"/>
  <c r="K28" i="7"/>
  <c r="K22" i="7"/>
  <c r="K37" i="7"/>
  <c r="K38" i="7"/>
  <c r="K34" i="7"/>
  <c r="N22" i="2"/>
  <c r="E22" i="2"/>
  <c r="J22" i="2"/>
  <c r="AC18" i="17"/>
  <c r="AB18" i="17"/>
  <c r="AB24" i="17" l="1"/>
  <c r="AB29" i="17"/>
  <c r="AD29" i="17" s="1"/>
  <c r="E29" i="17" s="1"/>
  <c r="AB34" i="17"/>
  <c r="AB20" i="17"/>
  <c r="AB25" i="17"/>
  <c r="AB30" i="17"/>
  <c r="AB36" i="17"/>
  <c r="AB28" i="17"/>
  <c r="AB38" i="17"/>
  <c r="AB21" i="17"/>
  <c r="AD21" i="17" s="1"/>
  <c r="E21" i="17" s="1"/>
  <c r="AB32" i="17"/>
  <c r="AD32" i="17" s="1"/>
  <c r="E32" i="17" s="1"/>
  <c r="AB22" i="17"/>
  <c r="AD22" i="17" s="1"/>
  <c r="E22" i="17" s="1"/>
  <c r="AB33" i="17"/>
  <c r="AB37" i="17"/>
  <c r="AB26" i="17"/>
  <c r="AD26" i="17" s="1"/>
  <c r="E26" i="17" s="1"/>
  <c r="AC38" i="17"/>
  <c r="AC32" i="17"/>
  <c r="AC25" i="17"/>
  <c r="AC22" i="17"/>
  <c r="AC36" i="17"/>
  <c r="AC29" i="17"/>
  <c r="AC26" i="17"/>
  <c r="AC20" i="17"/>
  <c r="AC34" i="17"/>
  <c r="AC21" i="17"/>
  <c r="AC30" i="17"/>
  <c r="AC37" i="17"/>
  <c r="AC28" i="17"/>
  <c r="AC33" i="17"/>
  <c r="AC24" i="17"/>
  <c r="A44" i="17"/>
  <c r="Q9" i="17"/>
  <c r="A9" i="17"/>
  <c r="A8" i="17"/>
  <c r="Q7" i="17"/>
  <c r="A7" i="17"/>
  <c r="A4" i="17"/>
  <c r="A3" i="17"/>
  <c r="A2" i="17"/>
  <c r="A1" i="17"/>
  <c r="G22" i="17" l="1"/>
  <c r="H22" i="17" s="1"/>
  <c r="AD28" i="17"/>
  <c r="E28" i="17" s="1"/>
  <c r="G26" i="17"/>
  <c r="H26" i="17" s="1"/>
  <c r="G32" i="17"/>
  <c r="H32" i="17" s="1"/>
  <c r="AD36" i="17"/>
  <c r="E36" i="17" s="1"/>
  <c r="AD34" i="17"/>
  <c r="E34" i="17" s="1"/>
  <c r="AD37" i="17"/>
  <c r="E37" i="17" s="1"/>
  <c r="G21" i="17"/>
  <c r="H21" i="17" s="1"/>
  <c r="AD30" i="17"/>
  <c r="E30" i="17" s="1"/>
  <c r="G29" i="17"/>
  <c r="H29" i="17" s="1"/>
  <c r="AD33" i="17"/>
  <c r="E33" i="17" s="1"/>
  <c r="AD38" i="17"/>
  <c r="E38" i="17" s="1"/>
  <c r="AD25" i="17"/>
  <c r="E25" i="17" s="1"/>
  <c r="AD24" i="17"/>
  <c r="E24" i="17" s="1"/>
  <c r="Q7" i="16"/>
  <c r="Q9" i="16"/>
  <c r="G33" i="17" l="1"/>
  <c r="H33" i="17" s="1"/>
  <c r="G36" i="17"/>
  <c r="H36" i="17" s="1"/>
  <c r="G24" i="17"/>
  <c r="H24" i="17" s="1"/>
  <c r="G28" i="17"/>
  <c r="H28" i="17" s="1"/>
  <c r="G25" i="17"/>
  <c r="H25" i="17" s="1"/>
  <c r="G37" i="17"/>
  <c r="H37" i="17" s="1"/>
  <c r="G38" i="17"/>
  <c r="H38" i="17" s="1"/>
  <c r="G30" i="17"/>
  <c r="H30" i="17" s="1"/>
  <c r="G34" i="17"/>
  <c r="H34" i="17" s="1"/>
  <c r="Y20" i="17"/>
  <c r="D20" i="17" s="1"/>
  <c r="AD20" i="17"/>
  <c r="E20" i="17" s="1"/>
  <c r="G20" i="17" l="1"/>
  <c r="H20" i="17" s="1"/>
  <c r="AC18" i="16"/>
  <c r="X18" i="16"/>
  <c r="AB18" i="16"/>
  <c r="AA20" i="16"/>
  <c r="V20" i="16"/>
  <c r="W18" i="16"/>
  <c r="A44" i="16"/>
  <c r="A9" i="16"/>
  <c r="A8" i="16"/>
  <c r="A7" i="16"/>
  <c r="A4" i="16"/>
  <c r="A3" i="16"/>
  <c r="A2" i="16"/>
  <c r="A1" i="16"/>
  <c r="W24" i="16" l="1"/>
  <c r="W29" i="16"/>
  <c r="W34" i="16"/>
  <c r="W20" i="16"/>
  <c r="W25" i="16"/>
  <c r="W30" i="16"/>
  <c r="W36" i="16"/>
  <c r="W26" i="16"/>
  <c r="W37" i="16"/>
  <c r="W28" i="16"/>
  <c r="W38" i="16"/>
  <c r="W21" i="16"/>
  <c r="W32" i="16"/>
  <c r="W33" i="16"/>
  <c r="W22" i="16"/>
  <c r="X37" i="16"/>
  <c r="X32" i="16"/>
  <c r="X25" i="16"/>
  <c r="X22" i="16"/>
  <c r="X36" i="16"/>
  <c r="X29" i="16"/>
  <c r="X26" i="16"/>
  <c r="X20" i="16"/>
  <c r="X33" i="16"/>
  <c r="X24" i="16"/>
  <c r="X34" i="16"/>
  <c r="X21" i="16"/>
  <c r="X30" i="16"/>
  <c r="X38" i="16"/>
  <c r="X28" i="16"/>
  <c r="V26" i="16"/>
  <c r="V22" i="16"/>
  <c r="V28" i="16"/>
  <c r="V29" i="16"/>
  <c r="Y29" i="16" s="1"/>
  <c r="D29" i="16" s="1"/>
  <c r="V34" i="16"/>
  <c r="V21" i="16"/>
  <c r="Y21" i="16" s="1"/>
  <c r="D21" i="16" s="1"/>
  <c r="V30" i="16"/>
  <c r="V36" i="16"/>
  <c r="V24" i="16"/>
  <c r="Y24" i="16" s="1"/>
  <c r="D24" i="16" s="1"/>
  <c r="V32" i="16"/>
  <c r="Y32" i="16" s="1"/>
  <c r="D32" i="16" s="1"/>
  <c r="V37" i="16"/>
  <c r="V25" i="16"/>
  <c r="Y25" i="16" s="1"/>
  <c r="D25" i="16" s="1"/>
  <c r="V33" i="16"/>
  <c r="V38" i="16"/>
  <c r="AC33" i="16"/>
  <c r="AC30" i="16"/>
  <c r="AC24" i="16"/>
  <c r="AC37" i="16"/>
  <c r="AC34" i="16"/>
  <c r="AC28" i="16"/>
  <c r="AC21" i="16"/>
  <c r="AC32" i="16"/>
  <c r="AC22" i="16"/>
  <c r="AC29" i="16"/>
  <c r="AC20" i="16"/>
  <c r="AC38" i="16"/>
  <c r="AC25" i="16"/>
  <c r="AC26" i="16"/>
  <c r="AC36" i="16"/>
  <c r="AB21" i="16"/>
  <c r="AB26" i="16"/>
  <c r="AB32" i="16"/>
  <c r="AB37" i="16"/>
  <c r="AB22" i="16"/>
  <c r="AB28" i="16"/>
  <c r="AB33" i="16"/>
  <c r="AB38" i="16"/>
  <c r="AB29" i="16"/>
  <c r="AB20" i="16"/>
  <c r="AB30" i="16"/>
  <c r="AB24" i="16"/>
  <c r="AB34" i="16"/>
  <c r="AB25" i="16"/>
  <c r="AB36" i="16"/>
  <c r="AD36" i="16" s="1"/>
  <c r="E36" i="16" s="1"/>
  <c r="AA24" i="16"/>
  <c r="AA29" i="16"/>
  <c r="AD29" i="16" s="1"/>
  <c r="E29" i="16" s="1"/>
  <c r="AA34" i="16"/>
  <c r="AA21" i="16"/>
  <c r="AA25" i="16"/>
  <c r="AA30" i="16"/>
  <c r="AD30" i="16" s="1"/>
  <c r="E30" i="16" s="1"/>
  <c r="AA36" i="16"/>
  <c r="AA32" i="16"/>
  <c r="AA22" i="16"/>
  <c r="AA33" i="16"/>
  <c r="AD33" i="16" s="1"/>
  <c r="E33" i="16" s="1"/>
  <c r="AA26" i="16"/>
  <c r="AD26" i="16" s="1"/>
  <c r="E26" i="16" s="1"/>
  <c r="AA37" i="16"/>
  <c r="AA38" i="16"/>
  <c r="AA28" i="16"/>
  <c r="L20" i="18"/>
  <c r="W10" i="16"/>
  <c r="W11" i="16"/>
  <c r="AD22" i="16" l="1"/>
  <c r="E22" i="16" s="1"/>
  <c r="AD24" i="16"/>
  <c r="E24" i="16" s="1"/>
  <c r="AD38" i="16"/>
  <c r="E38" i="16" s="1"/>
  <c r="AD37" i="16"/>
  <c r="E37" i="16" s="1"/>
  <c r="Y33" i="16"/>
  <c r="D33" i="16" s="1"/>
  <c r="Y26" i="16"/>
  <c r="D26" i="16" s="1"/>
  <c r="Y22" i="16"/>
  <c r="D22" i="16" s="1"/>
  <c r="L22" i="16" s="1"/>
  <c r="Y38" i="16"/>
  <c r="D38" i="16" s="1"/>
  <c r="Y36" i="16"/>
  <c r="D36" i="16" s="1"/>
  <c r="Y34" i="16"/>
  <c r="D34" i="16" s="1"/>
  <c r="G29" i="16"/>
  <c r="H29" i="16" s="1"/>
  <c r="M29" i="16"/>
  <c r="I22" i="16"/>
  <c r="I28" i="16"/>
  <c r="I33" i="16"/>
  <c r="M33" i="16" s="1"/>
  <c r="I38" i="16"/>
  <c r="I21" i="16"/>
  <c r="I26" i="16"/>
  <c r="I32" i="16"/>
  <c r="L32" i="16" s="1"/>
  <c r="I37" i="16"/>
  <c r="I20" i="16"/>
  <c r="I24" i="16"/>
  <c r="L24" i="16" s="1"/>
  <c r="I29" i="16"/>
  <c r="L29" i="16" s="1"/>
  <c r="I34" i="16"/>
  <c r="I25" i="16"/>
  <c r="I30" i="16"/>
  <c r="I36" i="16"/>
  <c r="M36" i="16" s="1"/>
  <c r="AD21" i="16"/>
  <c r="E21" i="16" s="1"/>
  <c r="G36" i="16"/>
  <c r="H36" i="16" s="1"/>
  <c r="AD32" i="16"/>
  <c r="E32" i="16" s="1"/>
  <c r="L25" i="16"/>
  <c r="Y28" i="16"/>
  <c r="D28" i="16" s="1"/>
  <c r="G30" i="16"/>
  <c r="H30" i="16" s="1"/>
  <c r="M30" i="16"/>
  <c r="J24" i="16"/>
  <c r="J29" i="16"/>
  <c r="J34" i="16"/>
  <c r="J20" i="16"/>
  <c r="J22" i="16"/>
  <c r="J28" i="16"/>
  <c r="J33" i="16"/>
  <c r="J38" i="16"/>
  <c r="J21" i="16"/>
  <c r="L21" i="16" s="1"/>
  <c r="J26" i="16"/>
  <c r="M26" i="16" s="1"/>
  <c r="P26" i="16" s="1"/>
  <c r="J32" i="16"/>
  <c r="J37" i="16"/>
  <c r="J25" i="16"/>
  <c r="J30" i="16"/>
  <c r="J36" i="16"/>
  <c r="G26" i="16"/>
  <c r="H26" i="16" s="1"/>
  <c r="AD34" i="16"/>
  <c r="E34" i="16" s="1"/>
  <c r="AD25" i="16"/>
  <c r="E25" i="16" s="1"/>
  <c r="AD28" i="16"/>
  <c r="E28" i="16" s="1"/>
  <c r="Y30" i="16"/>
  <c r="D30" i="16" s="1"/>
  <c r="Y37" i="16"/>
  <c r="D37" i="16" s="1"/>
  <c r="M20" i="18"/>
  <c r="Y20" i="16"/>
  <c r="D20" i="16" s="1"/>
  <c r="L20" i="16" s="1"/>
  <c r="AD20" i="16"/>
  <c r="E20" i="16" s="1"/>
  <c r="P36" i="16" l="1"/>
  <c r="N33" i="16"/>
  <c r="P33" i="16"/>
  <c r="G25" i="16"/>
  <c r="H25" i="16" s="1"/>
  <c r="M25" i="16"/>
  <c r="P30" i="16"/>
  <c r="Q30" i="16" s="1"/>
  <c r="G21" i="16"/>
  <c r="H21" i="16" s="1"/>
  <c r="M21" i="16"/>
  <c r="P29" i="16"/>
  <c r="Q29" i="16" s="1"/>
  <c r="N29" i="16"/>
  <c r="L33" i="16"/>
  <c r="L37" i="16"/>
  <c r="G37" i="16"/>
  <c r="H37" i="16" s="1"/>
  <c r="M37" i="16"/>
  <c r="L30" i="16"/>
  <c r="N30" i="16" s="1"/>
  <c r="L28" i="16"/>
  <c r="L34" i="16"/>
  <c r="N34" i="16" s="1"/>
  <c r="L26" i="16"/>
  <c r="N26" i="16" s="1"/>
  <c r="M38" i="16"/>
  <c r="G38" i="16"/>
  <c r="H38" i="16" s="1"/>
  <c r="G33" i="16"/>
  <c r="H33" i="16" s="1"/>
  <c r="L38" i="16"/>
  <c r="G22" i="16"/>
  <c r="H22" i="16" s="1"/>
  <c r="M22" i="16"/>
  <c r="P22" i="16" s="1"/>
  <c r="Q22" i="16" s="1"/>
  <c r="G34" i="16"/>
  <c r="H34" i="16" s="1"/>
  <c r="M34" i="16"/>
  <c r="P34" i="16" s="1"/>
  <c r="G32" i="16"/>
  <c r="H32" i="16" s="1"/>
  <c r="M32" i="16"/>
  <c r="N22" i="16"/>
  <c r="G28" i="16"/>
  <c r="H28" i="16" s="1"/>
  <c r="M28" i="16"/>
  <c r="P28" i="16" s="1"/>
  <c r="Q28" i="16" s="1"/>
  <c r="L36" i="16"/>
  <c r="N36" i="16" s="1"/>
  <c r="G24" i="16"/>
  <c r="H24" i="16" s="1"/>
  <c r="M24" i="16"/>
  <c r="G20" i="16"/>
  <c r="H20" i="16" s="1"/>
  <c r="M20" i="16"/>
  <c r="P20" i="18"/>
  <c r="Q20" i="18" s="1"/>
  <c r="N20" i="18"/>
  <c r="P32" i="16" l="1"/>
  <c r="Q32" i="16" s="1"/>
  <c r="N32" i="16"/>
  <c r="N28" i="16"/>
  <c r="P21" i="16"/>
  <c r="Q21" i="16" s="1"/>
  <c r="N21" i="16"/>
  <c r="P25" i="16"/>
  <c r="Q25" i="16" s="1"/>
  <c r="N25" i="16"/>
  <c r="Q36" i="16"/>
  <c r="P38" i="16"/>
  <c r="Q38" i="16" s="1"/>
  <c r="N38" i="16"/>
  <c r="N24" i="16"/>
  <c r="P24" i="16"/>
  <c r="Q24" i="16" s="1"/>
  <c r="Q34" i="16"/>
  <c r="P37" i="16"/>
  <c r="Q37" i="16" s="1"/>
  <c r="N37" i="16"/>
  <c r="Q33" i="16"/>
  <c r="Q26" i="16"/>
  <c r="P20" i="16"/>
  <c r="Q20" i="16" s="1"/>
  <c r="N20" i="16"/>
  <c r="R9" i="13" l="1"/>
  <c r="R9" i="12"/>
  <c r="P9" i="5"/>
  <c r="P9" i="4"/>
  <c r="P9" i="11"/>
  <c r="P9" i="10"/>
  <c r="P9" i="3"/>
  <c r="P9" i="2"/>
  <c r="A45" i="13" l="1"/>
  <c r="A45" i="12"/>
  <c r="A44" i="7"/>
  <c r="A39" i="5"/>
  <c r="A39" i="4"/>
  <c r="A39" i="11"/>
  <c r="A39" i="10"/>
  <c r="A39" i="3"/>
  <c r="A39" i="2"/>
  <c r="AD18" i="13" l="1"/>
  <c r="Y18" i="13"/>
  <c r="Y18" i="12"/>
  <c r="AD18" i="12"/>
  <c r="AD37" i="12" l="1"/>
  <c r="AD34" i="12"/>
  <c r="AD28" i="12"/>
  <c r="AD21" i="12"/>
  <c r="AD36" i="12"/>
  <c r="AD30" i="12"/>
  <c r="AD26" i="12"/>
  <c r="AD20" i="12"/>
  <c r="AD29" i="12"/>
  <c r="AD38" i="12"/>
  <c r="AD25" i="12"/>
  <c r="AD22" i="12"/>
  <c r="AD33" i="12"/>
  <c r="AD24" i="12"/>
  <c r="AD32" i="12"/>
  <c r="Y36" i="12"/>
  <c r="Y29" i="12"/>
  <c r="Y22" i="12"/>
  <c r="Y24" i="12"/>
  <c r="Y37" i="12"/>
  <c r="Y34" i="12"/>
  <c r="Y28" i="12"/>
  <c r="Y25" i="12"/>
  <c r="Y38" i="12"/>
  <c r="Y21" i="12"/>
  <c r="Y33" i="12"/>
  <c r="Y20" i="12"/>
  <c r="Y32" i="12"/>
  <c r="Y26" i="12"/>
  <c r="Y30" i="12"/>
  <c r="Y33" i="13"/>
  <c r="Y30" i="13"/>
  <c r="Y24" i="13"/>
  <c r="Y37" i="13"/>
  <c r="Y34" i="13"/>
  <c r="Y28" i="13"/>
  <c r="Y21" i="13"/>
  <c r="Y38" i="13"/>
  <c r="Y32" i="13"/>
  <c r="Y25" i="13"/>
  <c r="Y22" i="13"/>
  <c r="Y36" i="13"/>
  <c r="Y29" i="13"/>
  <c r="Y26" i="13"/>
  <c r="Y20" i="13"/>
  <c r="AD38" i="13"/>
  <c r="AD32" i="13"/>
  <c r="AD25" i="13"/>
  <c r="AD22" i="13"/>
  <c r="AD36" i="13"/>
  <c r="AD29" i="13"/>
  <c r="AD26" i="13"/>
  <c r="AD20" i="13"/>
  <c r="AD33" i="13"/>
  <c r="AD30" i="13"/>
  <c r="AD24" i="13"/>
  <c r="AD37" i="13"/>
  <c r="AD34" i="13"/>
  <c r="AD28" i="13"/>
  <c r="AD21" i="13"/>
  <c r="M18" i="2"/>
  <c r="N46" i="1" l="1"/>
  <c r="N45" i="1"/>
  <c r="N44" i="1"/>
  <c r="K46" i="1"/>
  <c r="V12" i="5" s="1"/>
  <c r="K45" i="1"/>
  <c r="K44" i="1"/>
  <c r="J32" i="5" l="1"/>
  <c r="J24" i="5"/>
  <c r="J30" i="5"/>
  <c r="J20" i="5"/>
  <c r="J22" i="5"/>
  <c r="J28" i="5"/>
  <c r="J34" i="5"/>
  <c r="J26" i="5"/>
  <c r="G9" i="8"/>
  <c r="A9" i="7"/>
  <c r="A8" i="7"/>
  <c r="A7" i="7"/>
  <c r="A4" i="7"/>
  <c r="A3" i="7"/>
  <c r="A2" i="7"/>
  <c r="A1" i="7"/>
  <c r="A9" i="13"/>
  <c r="A8" i="13"/>
  <c r="R7" i="13"/>
  <c r="A7" i="13"/>
  <c r="A4" i="13"/>
  <c r="A3" i="13"/>
  <c r="A2" i="13"/>
  <c r="A1" i="13"/>
  <c r="A9" i="12"/>
  <c r="A8" i="12"/>
  <c r="R7" i="12"/>
  <c r="A7" i="12"/>
  <c r="A4" i="12"/>
  <c r="A3" i="12"/>
  <c r="A2" i="12"/>
  <c r="A1" i="12"/>
  <c r="A9" i="5"/>
  <c r="A8" i="5"/>
  <c r="P7" i="5"/>
  <c r="A7" i="5"/>
  <c r="A4" i="5"/>
  <c r="A3" i="5"/>
  <c r="A2" i="5"/>
  <c r="A1" i="5"/>
  <c r="A9" i="4"/>
  <c r="A8" i="4"/>
  <c r="P7" i="4"/>
  <c r="A7" i="4"/>
  <c r="A4" i="4"/>
  <c r="A3" i="4"/>
  <c r="A2" i="4"/>
  <c r="A1" i="4"/>
  <c r="A9" i="11"/>
  <c r="A8" i="11"/>
  <c r="P7" i="11"/>
  <c r="A7" i="11"/>
  <c r="A4" i="11"/>
  <c r="A3" i="11"/>
  <c r="A2" i="11"/>
  <c r="A1" i="11"/>
  <c r="A9" i="10"/>
  <c r="A8" i="10"/>
  <c r="P7" i="10"/>
  <c r="A7" i="10"/>
  <c r="A4" i="10"/>
  <c r="A3" i="10"/>
  <c r="A2" i="10"/>
  <c r="A1" i="10"/>
  <c r="A9" i="3"/>
  <c r="A8" i="3"/>
  <c r="P7" i="3"/>
  <c r="A7" i="3"/>
  <c r="A4" i="3"/>
  <c r="A3" i="3"/>
  <c r="A2" i="3"/>
  <c r="A1" i="3"/>
  <c r="J30" i="3" l="1"/>
  <c r="J22" i="3"/>
  <c r="J28" i="3"/>
  <c r="J20" i="3"/>
  <c r="J34" i="3"/>
  <c r="J26" i="3"/>
  <c r="J32" i="3"/>
  <c r="J24" i="3"/>
  <c r="J28" i="10"/>
  <c r="J22" i="10"/>
  <c r="J34" i="10"/>
  <c r="J26" i="10"/>
  <c r="J32" i="10"/>
  <c r="J20" i="10"/>
  <c r="J30" i="10"/>
  <c r="J24" i="10"/>
  <c r="J34" i="4"/>
  <c r="J26" i="4"/>
  <c r="J32" i="4"/>
  <c r="J24" i="4"/>
  <c r="J30" i="4"/>
  <c r="J22" i="4"/>
  <c r="J28" i="4"/>
  <c r="J20" i="4"/>
  <c r="J34" i="11"/>
  <c r="J26" i="11"/>
  <c r="J32" i="11"/>
  <c r="J24" i="11"/>
  <c r="J30" i="11"/>
  <c r="J22" i="11"/>
  <c r="J28" i="11"/>
  <c r="J20" i="11"/>
  <c r="G10" i="8"/>
  <c r="G11" i="8" s="1"/>
  <c r="G12" i="8" s="1"/>
  <c r="G13" i="8" s="1"/>
  <c r="G14" i="8" s="1"/>
  <c r="G15" i="8" s="1"/>
  <c r="G16" i="8" s="1"/>
  <c r="P7" i="2" l="1"/>
  <c r="A7" i="2"/>
  <c r="A8" i="2"/>
  <c r="A9" i="2"/>
  <c r="A4" i="2"/>
  <c r="A3" i="2"/>
  <c r="A2" i="2"/>
  <c r="A1" i="2"/>
  <c r="C48" i="8"/>
  <c r="C47" i="8"/>
  <c r="C46" i="8"/>
  <c r="C45" i="8"/>
  <c r="C44" i="8"/>
  <c r="C43" i="8"/>
  <c r="C42" i="8"/>
  <c r="C41" i="8"/>
  <c r="C40" i="8"/>
  <c r="C39" i="8"/>
  <c r="C38" i="8"/>
  <c r="C37" i="8"/>
  <c r="I16" i="8" l="1"/>
  <c r="R8" i="12" s="1"/>
  <c r="I18" i="8"/>
  <c r="Q8" i="16" s="1"/>
  <c r="I17" i="8"/>
  <c r="R8" i="13" s="1"/>
  <c r="I10" i="8"/>
  <c r="P8" i="10" s="1"/>
  <c r="I8" i="8"/>
  <c r="I11" i="8"/>
  <c r="P8" i="11" s="1"/>
  <c r="I15" i="8"/>
  <c r="Q8" i="21" s="1"/>
  <c r="I14" i="8"/>
  <c r="I12" i="8"/>
  <c r="P8" i="4" s="1"/>
  <c r="I9" i="8"/>
  <c r="P8" i="3" s="1"/>
  <c r="I13" i="8"/>
  <c r="P8" i="5" s="1"/>
  <c r="V20" i="7"/>
  <c r="AB20" i="7"/>
  <c r="AE18" i="7"/>
  <c r="Y18" i="7"/>
  <c r="W20" i="13"/>
  <c r="AB20" i="13"/>
  <c r="AC18" i="13"/>
  <c r="AB20" i="12"/>
  <c r="AC18" i="12"/>
  <c r="W20" i="12"/>
  <c r="Y20" i="7" l="1"/>
  <c r="Z20" i="7" s="1"/>
  <c r="D20" i="7" s="1"/>
  <c r="Y24" i="7"/>
  <c r="Y29" i="7"/>
  <c r="Y30" i="7"/>
  <c r="Y28" i="7"/>
  <c r="Y25" i="7"/>
  <c r="Y22" i="7"/>
  <c r="Y21" i="7"/>
  <c r="Y26" i="7"/>
  <c r="Y38" i="7"/>
  <c r="Y33" i="7"/>
  <c r="Y37" i="7"/>
  <c r="Y32" i="7"/>
  <c r="Y34" i="7"/>
  <c r="Y36" i="7"/>
  <c r="V38" i="7"/>
  <c r="Z38" i="7" s="1"/>
  <c r="D38" i="7" s="1"/>
  <c r="V33" i="7"/>
  <c r="V28" i="7"/>
  <c r="V22" i="7"/>
  <c r="V32" i="7"/>
  <c r="V26" i="7"/>
  <c r="V34" i="7"/>
  <c r="V37" i="7"/>
  <c r="V21" i="7"/>
  <c r="V24" i="7"/>
  <c r="V36" i="7"/>
  <c r="V30" i="7"/>
  <c r="V25" i="7"/>
  <c r="V29" i="7"/>
  <c r="AE21" i="7"/>
  <c r="AE26" i="7"/>
  <c r="AE25" i="7"/>
  <c r="AE30" i="7"/>
  <c r="AE22" i="7"/>
  <c r="AE28" i="7"/>
  <c r="AE20" i="7"/>
  <c r="AE24" i="7"/>
  <c r="AE29" i="7"/>
  <c r="AE38" i="7"/>
  <c r="AE34" i="7"/>
  <c r="AE32" i="7"/>
  <c r="AE37" i="7"/>
  <c r="AE36" i="7"/>
  <c r="AE33" i="7"/>
  <c r="AC22" i="12"/>
  <c r="AC28" i="12"/>
  <c r="AC33" i="12"/>
  <c r="AC38" i="12"/>
  <c r="AC25" i="12"/>
  <c r="AC30" i="12"/>
  <c r="AC36" i="12"/>
  <c r="AC21" i="12"/>
  <c r="AC32" i="12"/>
  <c r="AC29" i="12"/>
  <c r="AC24" i="12"/>
  <c r="AC34" i="12"/>
  <c r="AC26" i="12"/>
  <c r="AC37" i="12"/>
  <c r="AC20" i="12"/>
  <c r="AB25" i="12"/>
  <c r="AE25" i="12" s="1"/>
  <c r="F25" i="12" s="1"/>
  <c r="AB30" i="12"/>
  <c r="AE30" i="12" s="1"/>
  <c r="F30" i="12" s="1"/>
  <c r="AB36" i="12"/>
  <c r="AB22" i="12"/>
  <c r="AB28" i="12"/>
  <c r="AB33" i="12"/>
  <c r="AE33" i="12" s="1"/>
  <c r="F33" i="12" s="1"/>
  <c r="AB38" i="12"/>
  <c r="AB24" i="12"/>
  <c r="AE24" i="12" s="1"/>
  <c r="F24" i="12" s="1"/>
  <c r="AB34" i="12"/>
  <c r="AB32" i="12"/>
  <c r="AB26" i="12"/>
  <c r="AB37" i="12"/>
  <c r="AE37" i="12" s="1"/>
  <c r="F37" i="12" s="1"/>
  <c r="AB29" i="12"/>
  <c r="AB21" i="12"/>
  <c r="W22" i="12"/>
  <c r="W28" i="12"/>
  <c r="W33" i="12"/>
  <c r="W38" i="12"/>
  <c r="W25" i="12"/>
  <c r="W30" i="12"/>
  <c r="W36" i="12"/>
  <c r="W26" i="12"/>
  <c r="W37" i="12"/>
  <c r="W24" i="12"/>
  <c r="W29" i="12"/>
  <c r="W21" i="12"/>
  <c r="W32" i="12"/>
  <c r="W34" i="12"/>
  <c r="AB24" i="7"/>
  <c r="AB29" i="7"/>
  <c r="AB34" i="7"/>
  <c r="AB21" i="7"/>
  <c r="AB30" i="7"/>
  <c r="AB22" i="7"/>
  <c r="AB33" i="7"/>
  <c r="AB25" i="7"/>
  <c r="AB36" i="7"/>
  <c r="AF36" i="7" s="1"/>
  <c r="E36" i="7" s="1"/>
  <c r="AB26" i="7"/>
  <c r="AB32" i="7"/>
  <c r="AB37" i="7"/>
  <c r="AB28" i="7"/>
  <c r="AB38" i="7"/>
  <c r="W24" i="13"/>
  <c r="W29" i="13"/>
  <c r="W34" i="13"/>
  <c r="W21" i="13"/>
  <c r="W25" i="13"/>
  <c r="W30" i="13"/>
  <c r="W36" i="13"/>
  <c r="W26" i="13"/>
  <c r="W32" i="13"/>
  <c r="W37" i="13"/>
  <c r="W22" i="13"/>
  <c r="W28" i="13"/>
  <c r="W33" i="13"/>
  <c r="W38" i="13"/>
  <c r="AC24" i="13"/>
  <c r="AC29" i="13"/>
  <c r="AC34" i="13"/>
  <c r="AC20" i="13"/>
  <c r="AC25" i="13"/>
  <c r="AC30" i="13"/>
  <c r="AC36" i="13"/>
  <c r="AC21" i="13"/>
  <c r="AC26" i="13"/>
  <c r="AC32" i="13"/>
  <c r="AC37" i="13"/>
  <c r="AC22" i="13"/>
  <c r="AC28" i="13"/>
  <c r="AE28" i="13" s="1"/>
  <c r="F28" i="13" s="1"/>
  <c r="AC33" i="13"/>
  <c r="AC38" i="13"/>
  <c r="AB26" i="13"/>
  <c r="AB32" i="13"/>
  <c r="AB37" i="13"/>
  <c r="AB22" i="13"/>
  <c r="AE22" i="13" s="1"/>
  <c r="F22" i="13" s="1"/>
  <c r="AB28" i="13"/>
  <c r="AB33" i="13"/>
  <c r="AB38" i="13"/>
  <c r="AB24" i="13"/>
  <c r="AB29" i="13"/>
  <c r="AB34" i="13"/>
  <c r="AB21" i="13"/>
  <c r="AB25" i="13"/>
  <c r="AE25" i="13" s="1"/>
  <c r="F25" i="13" s="1"/>
  <c r="AB30" i="13"/>
  <c r="AB36" i="13"/>
  <c r="AE36" i="13" s="1"/>
  <c r="F36" i="13" s="1"/>
  <c r="P8" i="2"/>
  <c r="AE34" i="12" l="1"/>
  <c r="F34" i="12" s="1"/>
  <c r="AE21" i="12"/>
  <c r="F21" i="12" s="1"/>
  <c r="AE38" i="12"/>
  <c r="F38" i="12" s="1"/>
  <c r="AF33" i="7"/>
  <c r="E33" i="7" s="1"/>
  <c r="AF34" i="7"/>
  <c r="E34" i="7" s="1"/>
  <c r="AF25" i="7"/>
  <c r="E25" i="7" s="1"/>
  <c r="Z37" i="7"/>
  <c r="D37" i="7" s="1"/>
  <c r="Z21" i="7"/>
  <c r="D21" i="7" s="1"/>
  <c r="Z30" i="7"/>
  <c r="D30" i="7" s="1"/>
  <c r="AE36" i="12"/>
  <c r="F36" i="12" s="1"/>
  <c r="AF38" i="7"/>
  <c r="E38" i="7" s="1"/>
  <c r="AF28" i="7"/>
  <c r="AF26" i="7"/>
  <c r="Z36" i="7"/>
  <c r="D36" i="7" s="1"/>
  <c r="Z33" i="7"/>
  <c r="D33" i="7" s="1"/>
  <c r="Z22" i="7"/>
  <c r="D22" i="7" s="1"/>
  <c r="Z29" i="7"/>
  <c r="D29" i="7" s="1"/>
  <c r="AE29" i="12"/>
  <c r="F29" i="12" s="1"/>
  <c r="AE28" i="12"/>
  <c r="F28" i="12" s="1"/>
  <c r="AF37" i="7"/>
  <c r="E37" i="7" s="1"/>
  <c r="AF29" i="7"/>
  <c r="E29" i="7" s="1"/>
  <c r="AF22" i="7"/>
  <c r="AF21" i="7"/>
  <c r="E21" i="7" s="1"/>
  <c r="Z34" i="7"/>
  <c r="D34" i="7" s="1"/>
  <c r="Z25" i="7"/>
  <c r="D25" i="7" s="1"/>
  <c r="Z24" i="7"/>
  <c r="D24" i="7" s="1"/>
  <c r="AE26" i="12"/>
  <c r="F26" i="12" s="1"/>
  <c r="AE32" i="12"/>
  <c r="F32" i="12" s="1"/>
  <c r="AE22" i="12"/>
  <c r="F22" i="12" s="1"/>
  <c r="AF32" i="7"/>
  <c r="AF24" i="7"/>
  <c r="AF30" i="7"/>
  <c r="Z32" i="7"/>
  <c r="D32" i="7" s="1"/>
  <c r="Z26" i="7"/>
  <c r="D26" i="7" s="1"/>
  <c r="Z28" i="7"/>
  <c r="D28" i="7" s="1"/>
  <c r="AE33" i="13"/>
  <c r="F33" i="13" s="1"/>
  <c r="AE32" i="13"/>
  <c r="F32" i="13" s="1"/>
  <c r="AE30" i="13"/>
  <c r="F30" i="13" s="1"/>
  <c r="AE29" i="13"/>
  <c r="F29" i="13" s="1"/>
  <c r="AE26" i="13"/>
  <c r="F26" i="13" s="1"/>
  <c r="AE24" i="13"/>
  <c r="F24" i="13" s="1"/>
  <c r="AE21" i="13"/>
  <c r="F21" i="13" s="1"/>
  <c r="AE38" i="13"/>
  <c r="F38" i="13" s="1"/>
  <c r="AE37" i="13"/>
  <c r="F37" i="13" s="1"/>
  <c r="AE34" i="13"/>
  <c r="F34" i="13" s="1"/>
  <c r="G34" i="7"/>
  <c r="H34" i="7" s="1"/>
  <c r="E22" i="7"/>
  <c r="AF20" i="7"/>
  <c r="E20" i="7" s="1"/>
  <c r="G20" i="7" s="1"/>
  <c r="H20" i="7" s="1"/>
  <c r="E24" i="7"/>
  <c r="E28" i="7"/>
  <c r="E26" i="7"/>
  <c r="E30" i="7"/>
  <c r="AE20" i="12"/>
  <c r="F20" i="12" s="1"/>
  <c r="AE20" i="13"/>
  <c r="F20" i="13" s="1"/>
  <c r="E32" i="7"/>
  <c r="G37" i="7" l="1"/>
  <c r="H37" i="7" s="1"/>
  <c r="G25" i="7"/>
  <c r="H25" i="7" s="1"/>
  <c r="G21" i="7"/>
  <c r="H21" i="7" s="1"/>
  <c r="G38" i="7"/>
  <c r="H38" i="7" s="1"/>
  <c r="G33" i="7"/>
  <c r="H33" i="7" s="1"/>
  <c r="G29" i="7"/>
  <c r="H29" i="7" s="1"/>
  <c r="G36" i="7"/>
  <c r="H36" i="7" s="1"/>
  <c r="G30" i="7"/>
  <c r="H30" i="7" s="1"/>
  <c r="G28" i="7"/>
  <c r="H28" i="7" s="1"/>
  <c r="G26" i="7"/>
  <c r="H26" i="7" s="1"/>
  <c r="G24" i="7"/>
  <c r="H24" i="7" s="1"/>
  <c r="G22" i="7"/>
  <c r="H22" i="7" s="1"/>
  <c r="G32" i="7"/>
  <c r="H32" i="7" s="1"/>
  <c r="U20" i="5"/>
  <c r="U32" i="5" s="1"/>
  <c r="Y20" i="5"/>
  <c r="Y34" i="5" s="1"/>
  <c r="Z18" i="5"/>
  <c r="Z26" i="5" s="1"/>
  <c r="V18" i="5"/>
  <c r="V32" i="5" s="1"/>
  <c r="Y20" i="4"/>
  <c r="Y28" i="4" s="1"/>
  <c r="Z18" i="4"/>
  <c r="Z34" i="4" s="1"/>
  <c r="U20" i="4"/>
  <c r="U34" i="4" s="1"/>
  <c r="Z18" i="11"/>
  <c r="Z30" i="11" s="1"/>
  <c r="Y20" i="11"/>
  <c r="Y30" i="11" s="1"/>
  <c r="U20" i="11"/>
  <c r="U34" i="11" s="1"/>
  <c r="Y20" i="10"/>
  <c r="Y32" i="10" s="1"/>
  <c r="U20" i="10"/>
  <c r="U30" i="10" s="1"/>
  <c r="Z18" i="10"/>
  <c r="Z32" i="10" s="1"/>
  <c r="Y20" i="3"/>
  <c r="Y32" i="3" s="1"/>
  <c r="Z18" i="3"/>
  <c r="Z32" i="3" s="1"/>
  <c r="U20" i="3"/>
  <c r="U34" i="3" s="1"/>
  <c r="U34" i="5" l="1"/>
  <c r="U22" i="5"/>
  <c r="U24" i="5"/>
  <c r="U26" i="5"/>
  <c r="U30" i="5"/>
  <c r="V22" i="5"/>
  <c r="Z30" i="5"/>
  <c r="Y22" i="4"/>
  <c r="Y30" i="4"/>
  <c r="Y34" i="4"/>
  <c r="AA34" i="4" s="1"/>
  <c r="D34" i="4" s="1"/>
  <c r="Y24" i="4"/>
  <c r="Y30" i="10"/>
  <c r="Y22" i="10"/>
  <c r="Y26" i="10"/>
  <c r="V30" i="5"/>
  <c r="V26" i="5"/>
  <c r="W26" i="5" s="1"/>
  <c r="C26" i="5" s="1"/>
  <c r="U28" i="5"/>
  <c r="U28" i="10"/>
  <c r="U32" i="10"/>
  <c r="Y24" i="10"/>
  <c r="Y28" i="10"/>
  <c r="U34" i="10"/>
  <c r="Y26" i="4"/>
  <c r="Z20" i="5"/>
  <c r="AA20" i="5" s="1"/>
  <c r="D20" i="5" s="1"/>
  <c r="Z24" i="5"/>
  <c r="Z28" i="5"/>
  <c r="Z34" i="5"/>
  <c r="AA34" i="5" s="1"/>
  <c r="D34" i="5" s="1"/>
  <c r="F34" i="5" s="1"/>
  <c r="U24" i="10"/>
  <c r="V34" i="5"/>
  <c r="W34" i="5" s="1"/>
  <c r="C34" i="5" s="1"/>
  <c r="Z24" i="3"/>
  <c r="U22" i="10"/>
  <c r="U26" i="10"/>
  <c r="Y34" i="10"/>
  <c r="Z28" i="4"/>
  <c r="AA28" i="4" s="1"/>
  <c r="D28" i="4" s="1"/>
  <c r="Z32" i="5"/>
  <c r="Z22" i="5"/>
  <c r="Z24" i="4"/>
  <c r="Z30" i="3"/>
  <c r="Y24" i="5"/>
  <c r="Y32" i="5"/>
  <c r="Y28" i="5"/>
  <c r="Z22" i="11"/>
  <c r="Z26" i="11"/>
  <c r="Z32" i="11"/>
  <c r="Z34" i="11"/>
  <c r="Z28" i="11"/>
  <c r="Z32" i="4"/>
  <c r="Z20" i="11"/>
  <c r="AA20" i="11" s="1"/>
  <c r="D20" i="11" s="1"/>
  <c r="Z24" i="11"/>
  <c r="Z20" i="4"/>
  <c r="AA20" i="4" s="1"/>
  <c r="D20" i="4" s="1"/>
  <c r="Y32" i="4"/>
  <c r="Y28" i="11"/>
  <c r="Y34" i="11"/>
  <c r="AA34" i="11" s="1"/>
  <c r="D34" i="11" s="1"/>
  <c r="AA32" i="10"/>
  <c r="D32" i="10" s="1"/>
  <c r="Y22" i="3"/>
  <c r="Y34" i="3"/>
  <c r="Y30" i="3"/>
  <c r="Y24" i="3"/>
  <c r="AA24" i="3" s="1"/>
  <c r="D24" i="3" s="1"/>
  <c r="Y28" i="3"/>
  <c r="Y26" i="3"/>
  <c r="AA30" i="11"/>
  <c r="D30" i="11" s="1"/>
  <c r="Z22" i="3"/>
  <c r="Z28" i="3"/>
  <c r="Z34" i="3"/>
  <c r="Z22" i="10"/>
  <c r="AA22" i="10" s="1"/>
  <c r="D22" i="10" s="1"/>
  <c r="Z26" i="10"/>
  <c r="AA26" i="10" s="1"/>
  <c r="D26" i="10" s="1"/>
  <c r="Z30" i="10"/>
  <c r="Z34" i="10"/>
  <c r="Y22" i="11"/>
  <c r="Y26" i="11"/>
  <c r="Y32" i="11"/>
  <c r="Z22" i="4"/>
  <c r="AA22" i="4" s="1"/>
  <c r="D22" i="4" s="1"/>
  <c r="Z30" i="4"/>
  <c r="AA30" i="4" s="1"/>
  <c r="D30" i="4" s="1"/>
  <c r="V20" i="5"/>
  <c r="W20" i="5" s="1"/>
  <c r="C20" i="5" s="1"/>
  <c r="Y22" i="5"/>
  <c r="V28" i="5"/>
  <c r="Y30" i="5"/>
  <c r="Z20" i="3"/>
  <c r="AA20" i="3" s="1"/>
  <c r="D20" i="3" s="1"/>
  <c r="Z26" i="3"/>
  <c r="AA32" i="3"/>
  <c r="D32" i="3" s="1"/>
  <c r="Z20" i="10"/>
  <c r="AA20" i="10" s="1"/>
  <c r="D20" i="10" s="1"/>
  <c r="Z24" i="10"/>
  <c r="Z28" i="10"/>
  <c r="Y24" i="11"/>
  <c r="Z26" i="4"/>
  <c r="W22" i="5"/>
  <c r="C22" i="5" s="1"/>
  <c r="V24" i="5"/>
  <c r="W24" i="5" s="1"/>
  <c r="C24" i="5" s="1"/>
  <c r="Y26" i="5"/>
  <c r="AA26" i="5" s="1"/>
  <c r="D26" i="5" s="1"/>
  <c r="F26" i="5" s="1"/>
  <c r="W32" i="5"/>
  <c r="C32" i="5" s="1"/>
  <c r="U22" i="4"/>
  <c r="U24" i="4"/>
  <c r="U26" i="4"/>
  <c r="U28" i="4"/>
  <c r="U30" i="4"/>
  <c r="U32" i="4"/>
  <c r="U22" i="11"/>
  <c r="U24" i="11"/>
  <c r="U26" i="11"/>
  <c r="U28" i="11"/>
  <c r="U30" i="11"/>
  <c r="U32" i="11"/>
  <c r="U22" i="3"/>
  <c r="U24" i="3"/>
  <c r="U26" i="3"/>
  <c r="U28" i="3"/>
  <c r="U30" i="3"/>
  <c r="U32" i="3"/>
  <c r="I49" i="1"/>
  <c r="I48" i="1"/>
  <c r="W10" i="21" s="1"/>
  <c r="I47" i="1"/>
  <c r="W10" i="17" s="1"/>
  <c r="J46" i="1"/>
  <c r="V11" i="5" s="1"/>
  <c r="I22" i="5" s="1"/>
  <c r="I46" i="1"/>
  <c r="V10" i="5" s="1"/>
  <c r="H22" i="5" s="1"/>
  <c r="J45" i="1"/>
  <c r="V11" i="4" s="1"/>
  <c r="I45" i="1"/>
  <c r="J44" i="1"/>
  <c r="I44" i="1"/>
  <c r="I21" i="17" l="1"/>
  <c r="I26" i="17"/>
  <c r="I32" i="17"/>
  <c r="I37" i="17"/>
  <c r="I20" i="17"/>
  <c r="I25" i="17"/>
  <c r="I30" i="17"/>
  <c r="I36" i="17"/>
  <c r="I22" i="17"/>
  <c r="I33" i="17"/>
  <c r="I24" i="17"/>
  <c r="I34" i="17"/>
  <c r="I28" i="17"/>
  <c r="I38" i="17"/>
  <c r="I29" i="17"/>
  <c r="I20" i="4"/>
  <c r="I22" i="4"/>
  <c r="I29" i="21"/>
  <c r="I34" i="21"/>
  <c r="I38" i="21"/>
  <c r="I22" i="21"/>
  <c r="I37" i="21"/>
  <c r="I32" i="21"/>
  <c r="I30" i="21"/>
  <c r="I26" i="21"/>
  <c r="I24" i="21"/>
  <c r="I20" i="21"/>
  <c r="I33" i="21"/>
  <c r="I25" i="21"/>
  <c r="I36" i="21"/>
  <c r="I28" i="21"/>
  <c r="I21" i="21"/>
  <c r="F20" i="5"/>
  <c r="G20" i="5" s="1"/>
  <c r="G34" i="5"/>
  <c r="W11" i="7"/>
  <c r="W10" i="7"/>
  <c r="I32" i="2"/>
  <c r="X10" i="13"/>
  <c r="X10" i="12"/>
  <c r="X11" i="13"/>
  <c r="X11" i="12"/>
  <c r="V10" i="11"/>
  <c r="V10" i="4"/>
  <c r="H22" i="4" s="1"/>
  <c r="AA28" i="10"/>
  <c r="D28" i="10" s="1"/>
  <c r="W30" i="5"/>
  <c r="C30" i="5" s="1"/>
  <c r="AA24" i="4"/>
  <c r="D24" i="4" s="1"/>
  <c r="W28" i="5"/>
  <c r="C28" i="5" s="1"/>
  <c r="AA34" i="10"/>
  <c r="D34" i="10" s="1"/>
  <c r="I20" i="5"/>
  <c r="I34" i="5"/>
  <c r="I32" i="5"/>
  <c r="I30" i="5"/>
  <c r="I28" i="5"/>
  <c r="I26" i="5"/>
  <c r="I24" i="5"/>
  <c r="H34" i="5"/>
  <c r="K34" i="5" s="1"/>
  <c r="H32" i="5"/>
  <c r="H30" i="5"/>
  <c r="H28" i="5"/>
  <c r="H26" i="5"/>
  <c r="K26" i="5" s="1"/>
  <c r="H24" i="5"/>
  <c r="K22" i="5"/>
  <c r="H20" i="5"/>
  <c r="K20" i="5" s="1"/>
  <c r="G26" i="5"/>
  <c r="AA22" i="11"/>
  <c r="D22" i="11" s="1"/>
  <c r="AA30" i="3"/>
  <c r="D30" i="3" s="1"/>
  <c r="AA28" i="3"/>
  <c r="D28" i="3" s="1"/>
  <c r="AA26" i="4"/>
  <c r="D26" i="4" s="1"/>
  <c r="AA26" i="11"/>
  <c r="D26" i="11" s="1"/>
  <c r="AA22" i="3"/>
  <c r="D22" i="3" s="1"/>
  <c r="AA28" i="5"/>
  <c r="D28" i="5" s="1"/>
  <c r="F28" i="5" s="1"/>
  <c r="AA24" i="10"/>
  <c r="D24" i="10" s="1"/>
  <c r="AA30" i="10"/>
  <c r="D30" i="10" s="1"/>
  <c r="AA30" i="5"/>
  <c r="D30" i="5" s="1"/>
  <c r="F30" i="5" s="1"/>
  <c r="AA32" i="5"/>
  <c r="D32" i="5" s="1"/>
  <c r="F32" i="5" s="1"/>
  <c r="AA28" i="11"/>
  <c r="D28" i="11" s="1"/>
  <c r="AA32" i="11"/>
  <c r="D32" i="11" s="1"/>
  <c r="AA26" i="3"/>
  <c r="D26" i="3" s="1"/>
  <c r="AA32" i="4"/>
  <c r="D32" i="4" s="1"/>
  <c r="AA24" i="5"/>
  <c r="D24" i="5" s="1"/>
  <c r="F24" i="5" s="1"/>
  <c r="V11" i="3"/>
  <c r="I22" i="3" s="1"/>
  <c r="V11" i="10"/>
  <c r="I22" i="10" s="1"/>
  <c r="AA22" i="5"/>
  <c r="D22" i="5" s="1"/>
  <c r="F22" i="5" s="1"/>
  <c r="AA34" i="3"/>
  <c r="D34" i="3" s="1"/>
  <c r="V11" i="11"/>
  <c r="I22" i="11" s="1"/>
  <c r="V10" i="3"/>
  <c r="H22" i="3" s="1"/>
  <c r="V10" i="10"/>
  <c r="H22" i="10" s="1"/>
  <c r="AA24" i="11"/>
  <c r="D24" i="11" s="1"/>
  <c r="Y20" i="2"/>
  <c r="Y34" i="2" s="1"/>
  <c r="U20" i="2"/>
  <c r="U32" i="2" s="1"/>
  <c r="Z18" i="2"/>
  <c r="V18" i="2"/>
  <c r="L21" i="21" l="1"/>
  <c r="M21" i="21"/>
  <c r="M30" i="21"/>
  <c r="L30" i="21"/>
  <c r="L36" i="17"/>
  <c r="M36" i="17"/>
  <c r="J21" i="7"/>
  <c r="J26" i="7"/>
  <c r="J33" i="7"/>
  <c r="J25" i="7"/>
  <c r="J20" i="7"/>
  <c r="J34" i="7"/>
  <c r="J28" i="7"/>
  <c r="J24" i="7"/>
  <c r="J22" i="7"/>
  <c r="J29" i="7"/>
  <c r="J30" i="7"/>
  <c r="J38" i="7"/>
  <c r="J37" i="7"/>
  <c r="J36" i="7"/>
  <c r="J32" i="7"/>
  <c r="L34" i="21"/>
  <c r="M34" i="21"/>
  <c r="L29" i="17"/>
  <c r="M29" i="17"/>
  <c r="L30" i="17"/>
  <c r="M30" i="17"/>
  <c r="H24" i="11"/>
  <c r="H22" i="11"/>
  <c r="M36" i="21"/>
  <c r="P36" i="21" s="1"/>
  <c r="L36" i="21"/>
  <c r="N36" i="21" s="1"/>
  <c r="L24" i="21"/>
  <c r="M24" i="21"/>
  <c r="M37" i="21"/>
  <c r="P37" i="21" s="1"/>
  <c r="L37" i="21"/>
  <c r="N37" i="21" s="1"/>
  <c r="M29" i="21"/>
  <c r="L29" i="21"/>
  <c r="L38" i="17"/>
  <c r="M38" i="17"/>
  <c r="L33" i="17"/>
  <c r="N33" i="17" s="1"/>
  <c r="M33" i="17"/>
  <c r="P33" i="17" s="1"/>
  <c r="L25" i="17"/>
  <c r="M25" i="17"/>
  <c r="L26" i="17"/>
  <c r="M26" i="17"/>
  <c r="I24" i="7"/>
  <c r="I29" i="7"/>
  <c r="I26" i="7"/>
  <c r="I25" i="7"/>
  <c r="I21" i="7"/>
  <c r="I28" i="7"/>
  <c r="I22" i="7"/>
  <c r="I30" i="7"/>
  <c r="I20" i="7"/>
  <c r="I38" i="7"/>
  <c r="I37" i="7"/>
  <c r="I34" i="7"/>
  <c r="I32" i="7"/>
  <c r="I36" i="7"/>
  <c r="I33" i="7"/>
  <c r="M33" i="21"/>
  <c r="L33" i="21"/>
  <c r="M38" i="21"/>
  <c r="L38" i="21"/>
  <c r="L34" i="17"/>
  <c r="M34" i="17"/>
  <c r="L37" i="17"/>
  <c r="M37" i="17"/>
  <c r="J24" i="12"/>
  <c r="J29" i="12"/>
  <c r="J34" i="12"/>
  <c r="N34" i="12" s="1"/>
  <c r="J21" i="12"/>
  <c r="N21" i="12" s="1"/>
  <c r="J26" i="12"/>
  <c r="J32" i="12"/>
  <c r="J37" i="12"/>
  <c r="J20" i="12"/>
  <c r="J22" i="12"/>
  <c r="J25" i="12"/>
  <c r="J28" i="12"/>
  <c r="N28" i="12" s="1"/>
  <c r="J30" i="12"/>
  <c r="N30" i="12" s="1"/>
  <c r="J33" i="12"/>
  <c r="J36" i="12"/>
  <c r="J38" i="12"/>
  <c r="M28" i="21"/>
  <c r="L28" i="21"/>
  <c r="M32" i="21"/>
  <c r="L32" i="21"/>
  <c r="L24" i="17"/>
  <c r="M24" i="17"/>
  <c r="L32" i="17"/>
  <c r="M32" i="17"/>
  <c r="K24" i="5"/>
  <c r="K32" i="5"/>
  <c r="K25" i="12"/>
  <c r="K30" i="12"/>
  <c r="K36" i="12"/>
  <c r="K22" i="12"/>
  <c r="K28" i="12"/>
  <c r="K33" i="12"/>
  <c r="K38" i="12"/>
  <c r="K20" i="12"/>
  <c r="K24" i="12"/>
  <c r="K32" i="12"/>
  <c r="K37" i="12"/>
  <c r="K26" i="12"/>
  <c r="K34" i="12"/>
  <c r="K21" i="12"/>
  <c r="K29" i="12"/>
  <c r="M25" i="21"/>
  <c r="L25" i="21"/>
  <c r="L26" i="21"/>
  <c r="M26" i="21"/>
  <c r="L22" i="21"/>
  <c r="M22" i="21"/>
  <c r="L28" i="17"/>
  <c r="M28" i="17"/>
  <c r="L22" i="17"/>
  <c r="M22" i="17"/>
  <c r="L20" i="17"/>
  <c r="M20" i="17"/>
  <c r="L21" i="17"/>
  <c r="M21" i="17"/>
  <c r="P21" i="17" s="1"/>
  <c r="Q21" i="17" s="1"/>
  <c r="K25" i="13"/>
  <c r="K30" i="13"/>
  <c r="K36" i="13"/>
  <c r="K24" i="13"/>
  <c r="K29" i="13"/>
  <c r="K34" i="13"/>
  <c r="K20" i="13"/>
  <c r="K22" i="13"/>
  <c r="K28" i="13"/>
  <c r="K33" i="13"/>
  <c r="K38" i="13"/>
  <c r="K21" i="13"/>
  <c r="K26" i="13"/>
  <c r="K32" i="13"/>
  <c r="K37" i="13"/>
  <c r="J24" i="13"/>
  <c r="N24" i="13" s="1"/>
  <c r="J29" i="13"/>
  <c r="N29" i="13" s="1"/>
  <c r="J34" i="13"/>
  <c r="N34" i="13" s="1"/>
  <c r="J22" i="13"/>
  <c r="J28" i="13"/>
  <c r="J33" i="13"/>
  <c r="J38" i="13"/>
  <c r="N38" i="13" s="1"/>
  <c r="J21" i="13"/>
  <c r="J26" i="13"/>
  <c r="J32" i="13"/>
  <c r="J37" i="13"/>
  <c r="N37" i="13" s="1"/>
  <c r="Q37" i="13" s="1"/>
  <c r="J20" i="13"/>
  <c r="J25" i="13"/>
  <c r="J30" i="13"/>
  <c r="J36" i="13"/>
  <c r="N36" i="13" s="1"/>
  <c r="Q36" i="13" s="1"/>
  <c r="K28" i="5"/>
  <c r="K30" i="5"/>
  <c r="L20" i="5"/>
  <c r="V32" i="2"/>
  <c r="W32" i="2" s="1"/>
  <c r="C32" i="2" s="1"/>
  <c r="V22" i="2"/>
  <c r="I20" i="2"/>
  <c r="I24" i="2"/>
  <c r="G30" i="5"/>
  <c r="I28" i="2"/>
  <c r="G28" i="5"/>
  <c r="H32" i="2"/>
  <c r="I34" i="2"/>
  <c r="I30" i="2"/>
  <c r="I26" i="2"/>
  <c r="H34" i="11"/>
  <c r="H20" i="11"/>
  <c r="H30" i="11"/>
  <c r="H26" i="11"/>
  <c r="H32" i="11"/>
  <c r="H28" i="11"/>
  <c r="Z32" i="2"/>
  <c r="Z22" i="2"/>
  <c r="L24" i="5"/>
  <c r="O24" i="5" s="1"/>
  <c r="L22" i="5"/>
  <c r="O22" i="5" s="1"/>
  <c r="L30" i="5"/>
  <c r="L32" i="5"/>
  <c r="O32" i="5" s="1"/>
  <c r="P32" i="5" s="1"/>
  <c r="L26" i="5"/>
  <c r="O26" i="5" s="1"/>
  <c r="L34" i="5"/>
  <c r="O34" i="5" s="1"/>
  <c r="L28" i="5"/>
  <c r="O28" i="5" s="1"/>
  <c r="G24" i="5"/>
  <c r="G32" i="5"/>
  <c r="G22" i="5"/>
  <c r="H34" i="4"/>
  <c r="H32" i="4"/>
  <c r="H30" i="4"/>
  <c r="H28" i="4"/>
  <c r="H26" i="4"/>
  <c r="H24" i="4"/>
  <c r="H20" i="4"/>
  <c r="I32" i="4"/>
  <c r="I26" i="4"/>
  <c r="I34" i="4"/>
  <c r="I30" i="4"/>
  <c r="I28" i="4"/>
  <c r="I24" i="4"/>
  <c r="I20" i="11"/>
  <c r="I34" i="11"/>
  <c r="I32" i="11"/>
  <c r="I30" i="11"/>
  <c r="I28" i="11"/>
  <c r="I26" i="11"/>
  <c r="I24" i="11"/>
  <c r="L24" i="11" s="1"/>
  <c r="O24" i="11" s="1"/>
  <c r="H20" i="10"/>
  <c r="H34" i="10"/>
  <c r="H32" i="10"/>
  <c r="H30" i="10"/>
  <c r="H28" i="10"/>
  <c r="H26" i="10"/>
  <c r="H24" i="10"/>
  <c r="I20" i="10"/>
  <c r="I34" i="10"/>
  <c r="I32" i="10"/>
  <c r="I30" i="10"/>
  <c r="I28" i="10"/>
  <c r="I26" i="10"/>
  <c r="I24" i="10"/>
  <c r="H24" i="3"/>
  <c r="H34" i="3"/>
  <c r="H32" i="3"/>
  <c r="H30" i="3"/>
  <c r="H26" i="3"/>
  <c r="H20" i="3"/>
  <c r="H28" i="3"/>
  <c r="I34" i="3"/>
  <c r="I32" i="3"/>
  <c r="I30" i="3"/>
  <c r="I28" i="3"/>
  <c r="I26" i="3"/>
  <c r="I24" i="3"/>
  <c r="I20" i="3"/>
  <c r="V18" i="10"/>
  <c r="V18" i="3"/>
  <c r="X18" i="12"/>
  <c r="X18" i="13"/>
  <c r="V18" i="11"/>
  <c r="V18" i="4"/>
  <c r="Z26" i="2"/>
  <c r="Z34" i="2"/>
  <c r="AA34" i="2" s="1"/>
  <c r="D34" i="2" s="1"/>
  <c r="Z20" i="2"/>
  <c r="AA20" i="2" s="1"/>
  <c r="D20" i="2" s="1"/>
  <c r="Z28" i="2"/>
  <c r="U26" i="2"/>
  <c r="Z30" i="2"/>
  <c r="U34" i="2"/>
  <c r="Z24" i="2"/>
  <c r="Y28" i="2"/>
  <c r="Y22" i="2"/>
  <c r="Y30" i="2"/>
  <c r="Y24" i="2"/>
  <c r="Y32" i="2"/>
  <c r="Y26" i="2"/>
  <c r="V26" i="2"/>
  <c r="V34" i="2"/>
  <c r="U28" i="2"/>
  <c r="V20" i="2"/>
  <c r="W20" i="2" s="1"/>
  <c r="C20" i="2" s="1"/>
  <c r="V28" i="2"/>
  <c r="U22" i="2"/>
  <c r="W22" i="2" s="1"/>
  <c r="C22" i="2" s="1"/>
  <c r="K22" i="2" s="1"/>
  <c r="U30" i="2"/>
  <c r="V30" i="2"/>
  <c r="U24" i="2"/>
  <c r="V24" i="2"/>
  <c r="P20" i="17" l="1"/>
  <c r="Q20" i="17" s="1"/>
  <c r="N20" i="17"/>
  <c r="P26" i="21"/>
  <c r="Q26" i="21" s="1"/>
  <c r="N26" i="21"/>
  <c r="Q30" i="12"/>
  <c r="P37" i="17"/>
  <c r="Q37" i="17" s="1"/>
  <c r="N37" i="17"/>
  <c r="M37" i="7"/>
  <c r="L37" i="7"/>
  <c r="N30" i="13"/>
  <c r="N33" i="13"/>
  <c r="N32" i="17"/>
  <c r="P32" i="17"/>
  <c r="Q32" i="17" s="1"/>
  <c r="Q28" i="12"/>
  <c r="N37" i="12"/>
  <c r="M36" i="7"/>
  <c r="L36" i="7"/>
  <c r="L28" i="7"/>
  <c r="M28" i="7"/>
  <c r="P25" i="17"/>
  <c r="Q25" i="17" s="1"/>
  <c r="N25" i="17"/>
  <c r="P30" i="17"/>
  <c r="Q30" i="17" s="1"/>
  <c r="N30" i="17"/>
  <c r="N25" i="13"/>
  <c r="Q25" i="13" s="1"/>
  <c r="N26" i="13"/>
  <c r="Q26" i="13" s="1"/>
  <c r="N28" i="13"/>
  <c r="Q28" i="13" s="1"/>
  <c r="P22" i="17"/>
  <c r="Q22" i="17" s="1"/>
  <c r="N22" i="17"/>
  <c r="P22" i="21"/>
  <c r="Q22" i="21" s="1"/>
  <c r="N22" i="21"/>
  <c r="P32" i="21"/>
  <c r="Q32" i="21" s="1"/>
  <c r="N32" i="21"/>
  <c r="N36" i="12"/>
  <c r="N25" i="12"/>
  <c r="N32" i="12"/>
  <c r="N29" i="12"/>
  <c r="N34" i="17"/>
  <c r="P34" i="17"/>
  <c r="Q34" i="17" s="1"/>
  <c r="L32" i="7"/>
  <c r="M32" i="7"/>
  <c r="L20" i="7"/>
  <c r="M21" i="7"/>
  <c r="L21" i="7"/>
  <c r="L24" i="7"/>
  <c r="M24" i="7"/>
  <c r="Q37" i="21"/>
  <c r="Q36" i="21"/>
  <c r="P36" i="17"/>
  <c r="Q36" i="17" s="1"/>
  <c r="N36" i="17"/>
  <c r="N21" i="21"/>
  <c r="P21" i="21"/>
  <c r="Q21" i="21" s="1"/>
  <c r="N28" i="17"/>
  <c r="P28" i="17"/>
  <c r="Q28" i="17" s="1"/>
  <c r="N28" i="21"/>
  <c r="P28" i="21"/>
  <c r="Q28" i="21" s="1"/>
  <c r="Q21" i="12"/>
  <c r="L33" i="7"/>
  <c r="M33" i="7"/>
  <c r="M22" i="7"/>
  <c r="L22" i="7"/>
  <c r="L26" i="7"/>
  <c r="M26" i="7"/>
  <c r="P29" i="21"/>
  <c r="Q29" i="21" s="1"/>
  <c r="N29" i="21"/>
  <c r="X25" i="12"/>
  <c r="Z25" i="12" s="1"/>
  <c r="E25" i="12" s="1"/>
  <c r="X30" i="12"/>
  <c r="Z30" i="12" s="1"/>
  <c r="E30" i="12" s="1"/>
  <c r="X36" i="12"/>
  <c r="Z36" i="12" s="1"/>
  <c r="E36" i="12" s="1"/>
  <c r="X22" i="12"/>
  <c r="Z22" i="12" s="1"/>
  <c r="E22" i="12" s="1"/>
  <c r="X28" i="12"/>
  <c r="Z28" i="12" s="1"/>
  <c r="E28" i="12" s="1"/>
  <c r="X33" i="12"/>
  <c r="Z33" i="12" s="1"/>
  <c r="E33" i="12" s="1"/>
  <c r="X38" i="12"/>
  <c r="Z38" i="12" s="1"/>
  <c r="E38" i="12" s="1"/>
  <c r="X24" i="12"/>
  <c r="Z24" i="12" s="1"/>
  <c r="E24" i="12" s="1"/>
  <c r="X34" i="12"/>
  <c r="Z34" i="12" s="1"/>
  <c r="E34" i="12" s="1"/>
  <c r="X21" i="12"/>
  <c r="Z21" i="12" s="1"/>
  <c r="E21" i="12" s="1"/>
  <c r="X26" i="12"/>
  <c r="Z26" i="12" s="1"/>
  <c r="E26" i="12" s="1"/>
  <c r="X37" i="12"/>
  <c r="Z37" i="12" s="1"/>
  <c r="E37" i="12" s="1"/>
  <c r="X29" i="12"/>
  <c r="Z29" i="12" s="1"/>
  <c r="E29" i="12" s="1"/>
  <c r="X20" i="12"/>
  <c r="X32" i="12"/>
  <c r="Z32" i="12" s="1"/>
  <c r="E32" i="12" s="1"/>
  <c r="P24" i="5"/>
  <c r="N32" i="13"/>
  <c r="Q32" i="13" s="1"/>
  <c r="N38" i="12"/>
  <c r="Q34" i="12"/>
  <c r="P38" i="21"/>
  <c r="Q38" i="21" s="1"/>
  <c r="N38" i="21"/>
  <c r="L38" i="7"/>
  <c r="M38" i="7"/>
  <c r="M29" i="7"/>
  <c r="P29" i="7" s="1"/>
  <c r="Q29" i="7" s="1"/>
  <c r="L29" i="7"/>
  <c r="N38" i="17"/>
  <c r="P38" i="17"/>
  <c r="Q38" i="17" s="1"/>
  <c r="N34" i="21"/>
  <c r="P34" i="21"/>
  <c r="Q34" i="21" s="1"/>
  <c r="P30" i="21"/>
  <c r="Q30" i="21" s="1"/>
  <c r="N30" i="21"/>
  <c r="N21" i="13"/>
  <c r="N22" i="13"/>
  <c r="N21" i="17"/>
  <c r="N25" i="21"/>
  <c r="P25" i="21"/>
  <c r="Q25" i="21" s="1"/>
  <c r="N24" i="17"/>
  <c r="P24" i="17"/>
  <c r="Q24" i="17" s="1"/>
  <c r="N33" i="12"/>
  <c r="N22" i="12"/>
  <c r="N26" i="12"/>
  <c r="N24" i="12"/>
  <c r="Q24" i="12" s="1"/>
  <c r="N33" i="21"/>
  <c r="P33" i="21"/>
  <c r="Q33" i="21" s="1"/>
  <c r="M34" i="7"/>
  <c r="L34" i="7"/>
  <c r="M30" i="7"/>
  <c r="L30" i="7"/>
  <c r="M25" i="7"/>
  <c r="L25" i="7"/>
  <c r="N26" i="17"/>
  <c r="P26" i="17"/>
  <c r="Q26" i="17" s="1"/>
  <c r="Q33" i="17"/>
  <c r="P24" i="21"/>
  <c r="Q24" i="21" s="1"/>
  <c r="N24" i="21"/>
  <c r="P29" i="17"/>
  <c r="Q29" i="17" s="1"/>
  <c r="N29" i="17"/>
  <c r="Q24" i="13"/>
  <c r="Q21" i="13"/>
  <c r="Q22" i="13"/>
  <c r="X21" i="13"/>
  <c r="Z21" i="13" s="1"/>
  <c r="E21" i="13" s="1"/>
  <c r="X26" i="13"/>
  <c r="Z26" i="13" s="1"/>
  <c r="E26" i="13" s="1"/>
  <c r="X32" i="13"/>
  <c r="Z32" i="13" s="1"/>
  <c r="E32" i="13" s="1"/>
  <c r="X37" i="13"/>
  <c r="Z37" i="13" s="1"/>
  <c r="E37" i="13" s="1"/>
  <c r="X22" i="13"/>
  <c r="Z22" i="13" s="1"/>
  <c r="E22" i="13" s="1"/>
  <c r="X28" i="13"/>
  <c r="Z28" i="13" s="1"/>
  <c r="E28" i="13" s="1"/>
  <c r="X33" i="13"/>
  <c r="Z33" i="13" s="1"/>
  <c r="E33" i="13" s="1"/>
  <c r="X38" i="13"/>
  <c r="Z38" i="13" s="1"/>
  <c r="E38" i="13" s="1"/>
  <c r="X24" i="13"/>
  <c r="Z24" i="13" s="1"/>
  <c r="E24" i="13" s="1"/>
  <c r="X29" i="13"/>
  <c r="Z29" i="13" s="1"/>
  <c r="E29" i="13" s="1"/>
  <c r="X34" i="13"/>
  <c r="Z34" i="13" s="1"/>
  <c r="E34" i="13" s="1"/>
  <c r="X20" i="13"/>
  <c r="X25" i="13"/>
  <c r="Z25" i="13" s="1"/>
  <c r="E25" i="13" s="1"/>
  <c r="X30" i="13"/>
  <c r="Z30" i="13" s="1"/>
  <c r="E30" i="13" s="1"/>
  <c r="X36" i="13"/>
  <c r="Z36" i="13" s="1"/>
  <c r="E36" i="13" s="1"/>
  <c r="Q38" i="13"/>
  <c r="Q34" i="13"/>
  <c r="Q30" i="13"/>
  <c r="Q33" i="13"/>
  <c r="Q29" i="13"/>
  <c r="L20" i="21"/>
  <c r="F20" i="2"/>
  <c r="K32" i="2"/>
  <c r="P26" i="5"/>
  <c r="P22" i="5"/>
  <c r="N20" i="12"/>
  <c r="N20" i="13"/>
  <c r="M20" i="21"/>
  <c r="M20" i="7"/>
  <c r="M20" i="5"/>
  <c r="O20" i="5"/>
  <c r="P20" i="5" s="1"/>
  <c r="L20" i="4"/>
  <c r="L20" i="11"/>
  <c r="L20" i="3"/>
  <c r="L20" i="10"/>
  <c r="P28" i="5"/>
  <c r="M30" i="5"/>
  <c r="O30" i="5"/>
  <c r="P30" i="5" s="1"/>
  <c r="P34" i="5"/>
  <c r="M26" i="5"/>
  <c r="H34" i="2"/>
  <c r="L28" i="11"/>
  <c r="O28" i="11" s="1"/>
  <c r="M28" i="5"/>
  <c r="AA22" i="2"/>
  <c r="D22" i="2" s="1"/>
  <c r="F22" i="2" s="1"/>
  <c r="L30" i="11"/>
  <c r="O30" i="11" s="1"/>
  <c r="L22" i="11"/>
  <c r="O22" i="11" s="1"/>
  <c r="H26" i="2"/>
  <c r="L30" i="3"/>
  <c r="O30" i="3" s="1"/>
  <c r="L34" i="3"/>
  <c r="O34" i="3" s="1"/>
  <c r="L28" i="10"/>
  <c r="O28" i="10" s="1"/>
  <c r="H24" i="2"/>
  <c r="H30" i="2"/>
  <c r="H28" i="2"/>
  <c r="H20" i="2"/>
  <c r="K20" i="2" s="1"/>
  <c r="L34" i="11"/>
  <c r="O34" i="11" s="1"/>
  <c r="L26" i="3"/>
  <c r="O26" i="3" s="1"/>
  <c r="L24" i="3"/>
  <c r="O24" i="3" s="1"/>
  <c r="AA32" i="2"/>
  <c r="D32" i="2" s="1"/>
  <c r="G20" i="2"/>
  <c r="L26" i="11"/>
  <c r="O26" i="11" s="1"/>
  <c r="L32" i="11"/>
  <c r="O32" i="11" s="1"/>
  <c r="L34" i="10"/>
  <c r="O34" i="10" s="1"/>
  <c r="L30" i="10"/>
  <c r="O30" i="10" s="1"/>
  <c r="L24" i="10"/>
  <c r="O24" i="10" s="1"/>
  <c r="L28" i="3"/>
  <c r="O28" i="3" s="1"/>
  <c r="M34" i="5"/>
  <c r="M32" i="5"/>
  <c r="M22" i="5"/>
  <c r="M24" i="5"/>
  <c r="L32" i="3"/>
  <c r="O32" i="3" s="1"/>
  <c r="L32" i="10"/>
  <c r="O32" i="10" s="1"/>
  <c r="L26" i="10"/>
  <c r="O26" i="10" s="1"/>
  <c r="L24" i="4"/>
  <c r="O24" i="4" s="1"/>
  <c r="L22" i="4"/>
  <c r="O22" i="4" s="1"/>
  <c r="L28" i="4"/>
  <c r="O28" i="4" s="1"/>
  <c r="L26" i="4"/>
  <c r="O26" i="4" s="1"/>
  <c r="L30" i="4"/>
  <c r="O30" i="4" s="1"/>
  <c r="L32" i="4"/>
  <c r="O32" i="4" s="1"/>
  <c r="L34" i="4"/>
  <c r="O34" i="4" s="1"/>
  <c r="L22" i="10"/>
  <c r="O22" i="10" s="1"/>
  <c r="L22" i="3"/>
  <c r="O22" i="3" s="1"/>
  <c r="V34" i="4"/>
  <c r="W34" i="4" s="1"/>
  <c r="C34" i="4" s="1"/>
  <c r="V28" i="4"/>
  <c r="W28" i="4" s="1"/>
  <c r="C28" i="4" s="1"/>
  <c r="V26" i="4"/>
  <c r="W26" i="4" s="1"/>
  <c r="C26" i="4" s="1"/>
  <c r="V20" i="4"/>
  <c r="W20" i="4" s="1"/>
  <c r="C20" i="4" s="1"/>
  <c r="V22" i="4"/>
  <c r="W22" i="4" s="1"/>
  <c r="C22" i="4" s="1"/>
  <c r="V30" i="4"/>
  <c r="W30" i="4" s="1"/>
  <c r="C30" i="4" s="1"/>
  <c r="V24" i="4"/>
  <c r="W24" i="4" s="1"/>
  <c r="C24" i="4" s="1"/>
  <c r="V32" i="4"/>
  <c r="W32" i="4" s="1"/>
  <c r="C32" i="4" s="1"/>
  <c r="V34" i="3"/>
  <c r="W34" i="3" s="1"/>
  <c r="C34" i="3" s="1"/>
  <c r="V20" i="3"/>
  <c r="W20" i="3" s="1"/>
  <c r="C20" i="3" s="1"/>
  <c r="V28" i="3"/>
  <c r="W28" i="3" s="1"/>
  <c r="C28" i="3" s="1"/>
  <c r="V22" i="3"/>
  <c r="W22" i="3" s="1"/>
  <c r="C22" i="3" s="1"/>
  <c r="V30" i="3"/>
  <c r="W30" i="3" s="1"/>
  <c r="C30" i="3" s="1"/>
  <c r="V24" i="3"/>
  <c r="W24" i="3" s="1"/>
  <c r="C24" i="3" s="1"/>
  <c r="V32" i="3"/>
  <c r="W32" i="3" s="1"/>
  <c r="C32" i="3" s="1"/>
  <c r="V26" i="3"/>
  <c r="W26" i="3" s="1"/>
  <c r="C26" i="3" s="1"/>
  <c r="V20" i="11"/>
  <c r="W20" i="11" s="1"/>
  <c r="C20" i="11" s="1"/>
  <c r="V24" i="11"/>
  <c r="W24" i="11" s="1"/>
  <c r="C24" i="11" s="1"/>
  <c r="V32" i="11"/>
  <c r="W32" i="11" s="1"/>
  <c r="C32" i="11" s="1"/>
  <c r="V26" i="11"/>
  <c r="W26" i="11" s="1"/>
  <c r="C26" i="11" s="1"/>
  <c r="V22" i="11"/>
  <c r="W22" i="11" s="1"/>
  <c r="C22" i="11" s="1"/>
  <c r="V34" i="11"/>
  <c r="W34" i="11" s="1"/>
  <c r="C34" i="11" s="1"/>
  <c r="V30" i="11"/>
  <c r="W30" i="11" s="1"/>
  <c r="C30" i="11" s="1"/>
  <c r="V28" i="11"/>
  <c r="W28" i="11" s="1"/>
  <c r="C28" i="11" s="1"/>
  <c r="V20" i="10"/>
  <c r="W20" i="10" s="1"/>
  <c r="C20" i="10" s="1"/>
  <c r="V22" i="10"/>
  <c r="W22" i="10" s="1"/>
  <c r="C22" i="10" s="1"/>
  <c r="V30" i="10"/>
  <c r="W30" i="10" s="1"/>
  <c r="C30" i="10" s="1"/>
  <c r="V28" i="10"/>
  <c r="W28" i="10" s="1"/>
  <c r="C28" i="10" s="1"/>
  <c r="V34" i="10"/>
  <c r="W34" i="10" s="1"/>
  <c r="C34" i="10" s="1"/>
  <c r="V24" i="10"/>
  <c r="W24" i="10" s="1"/>
  <c r="C24" i="10" s="1"/>
  <c r="V32" i="10"/>
  <c r="W32" i="10" s="1"/>
  <c r="C32" i="10" s="1"/>
  <c r="V26" i="10"/>
  <c r="W26" i="10" s="1"/>
  <c r="C26" i="10" s="1"/>
  <c r="Z20" i="12"/>
  <c r="E20" i="12" s="1"/>
  <c r="AA26" i="2"/>
  <c r="D26" i="2" s="1"/>
  <c r="W34" i="2"/>
  <c r="C34" i="2" s="1"/>
  <c r="K34" i="2" s="1"/>
  <c r="AA30" i="2"/>
  <c r="D30" i="2" s="1"/>
  <c r="W30" i="2"/>
  <c r="C30" i="2" s="1"/>
  <c r="K30" i="2" s="1"/>
  <c r="W28" i="2"/>
  <c r="C28" i="2" s="1"/>
  <c r="K28" i="2" s="1"/>
  <c r="AA28" i="2"/>
  <c r="D28" i="2" s="1"/>
  <c r="W24" i="2"/>
  <c r="C24" i="2" s="1"/>
  <c r="AA24" i="2"/>
  <c r="D24" i="2" s="1"/>
  <c r="F24" i="2" s="1"/>
  <c r="W26" i="2"/>
  <c r="C26" i="2" s="1"/>
  <c r="K26" i="2" s="1"/>
  <c r="M29" i="12" l="1"/>
  <c r="H29" i="12"/>
  <c r="I29" i="12" s="1"/>
  <c r="M25" i="12"/>
  <c r="H25" i="12"/>
  <c r="I25" i="12" s="1"/>
  <c r="P21" i="7"/>
  <c r="Q21" i="7" s="1"/>
  <c r="N21" i="7"/>
  <c r="O25" i="12"/>
  <c r="Q25" i="12"/>
  <c r="R25" i="12" s="1"/>
  <c r="M37" i="12"/>
  <c r="O37" i="12" s="1"/>
  <c r="H37" i="12"/>
  <c r="I37" i="12" s="1"/>
  <c r="M22" i="12"/>
  <c r="H22" i="12"/>
  <c r="I22" i="12" s="1"/>
  <c r="R21" i="12"/>
  <c r="P24" i="7"/>
  <c r="Q24" i="7" s="1"/>
  <c r="N24" i="7"/>
  <c r="Q36" i="12"/>
  <c r="O36" i="12"/>
  <c r="M34" i="12"/>
  <c r="O34" i="12" s="1"/>
  <c r="H34" i="12"/>
  <c r="I34" i="12" s="1"/>
  <c r="P30" i="7"/>
  <c r="Q30" i="7" s="1"/>
  <c r="N30" i="7"/>
  <c r="Q33" i="12"/>
  <c r="P38" i="7"/>
  <c r="Q38" i="7" s="1"/>
  <c r="N38" i="7"/>
  <c r="M24" i="12"/>
  <c r="O24" i="12" s="1"/>
  <c r="H24" i="12"/>
  <c r="I24" i="12" s="1"/>
  <c r="K24" i="2"/>
  <c r="M32" i="12"/>
  <c r="H32" i="12"/>
  <c r="I32" i="12" s="1"/>
  <c r="M26" i="12"/>
  <c r="H26" i="12"/>
  <c r="I26" i="12" s="1"/>
  <c r="M38" i="12"/>
  <c r="O38" i="12" s="1"/>
  <c r="H38" i="12"/>
  <c r="I38" i="12" s="1"/>
  <c r="M36" i="12"/>
  <c r="H36" i="12"/>
  <c r="I36" i="12" s="1"/>
  <c r="P22" i="7"/>
  <c r="Q22" i="7" s="1"/>
  <c r="N22" i="7"/>
  <c r="P32" i="7"/>
  <c r="Q32" i="7" s="1"/>
  <c r="N32" i="7"/>
  <c r="O29" i="12"/>
  <c r="Q29" i="12"/>
  <c r="R29" i="12" s="1"/>
  <c r="P36" i="7"/>
  <c r="Q36" i="7" s="1"/>
  <c r="N36" i="7"/>
  <c r="R30" i="12"/>
  <c r="O22" i="12"/>
  <c r="Q22" i="12"/>
  <c r="R22" i="12" s="1"/>
  <c r="M28" i="12"/>
  <c r="O28" i="12" s="1"/>
  <c r="H28" i="12"/>
  <c r="I28" i="12" s="1"/>
  <c r="P25" i="7"/>
  <c r="Q25" i="7" s="1"/>
  <c r="N25" i="7"/>
  <c r="P34" i="7"/>
  <c r="Q34" i="7" s="1"/>
  <c r="N34" i="7"/>
  <c r="O26" i="12"/>
  <c r="Q26" i="12"/>
  <c r="R26" i="12" s="1"/>
  <c r="N29" i="7"/>
  <c r="Q38" i="12"/>
  <c r="R38" i="12" s="1"/>
  <c r="M21" i="12"/>
  <c r="O21" i="12" s="1"/>
  <c r="H21" i="12"/>
  <c r="I21" i="12" s="1"/>
  <c r="M33" i="12"/>
  <c r="O33" i="12" s="1"/>
  <c r="H33" i="12"/>
  <c r="I33" i="12" s="1"/>
  <c r="M30" i="12"/>
  <c r="O30" i="12" s="1"/>
  <c r="H30" i="12"/>
  <c r="I30" i="12" s="1"/>
  <c r="P26" i="7"/>
  <c r="Q26" i="7" s="1"/>
  <c r="N26" i="7"/>
  <c r="P33" i="7"/>
  <c r="Q33" i="7" s="1"/>
  <c r="N33" i="7"/>
  <c r="O32" i="12"/>
  <c r="Q32" i="12"/>
  <c r="P28" i="7"/>
  <c r="Q28" i="7" s="1"/>
  <c r="N28" i="7"/>
  <c r="Q37" i="12"/>
  <c r="R37" i="12" s="1"/>
  <c r="P37" i="7"/>
  <c r="Q37" i="7" s="1"/>
  <c r="N37" i="7"/>
  <c r="M30" i="13"/>
  <c r="O30" i="13" s="1"/>
  <c r="H30" i="13"/>
  <c r="I30" i="13" s="1"/>
  <c r="M29" i="13"/>
  <c r="O29" i="13" s="1"/>
  <c r="H29" i="13"/>
  <c r="I29" i="13" s="1"/>
  <c r="M28" i="13"/>
  <c r="O28" i="13" s="1"/>
  <c r="H28" i="13"/>
  <c r="I28" i="13" s="1"/>
  <c r="M26" i="13"/>
  <c r="H26" i="13"/>
  <c r="I26" i="13" s="1"/>
  <c r="M25" i="13"/>
  <c r="H25" i="13"/>
  <c r="I25" i="13" s="1"/>
  <c r="M24" i="13"/>
  <c r="O24" i="13" s="1"/>
  <c r="H24" i="13"/>
  <c r="I24" i="13" s="1"/>
  <c r="M22" i="13"/>
  <c r="O22" i="13" s="1"/>
  <c r="H22" i="13"/>
  <c r="I22" i="13" s="1"/>
  <c r="M21" i="13"/>
  <c r="O21" i="13" s="1"/>
  <c r="H21" i="13"/>
  <c r="I21" i="13" s="1"/>
  <c r="M38" i="13"/>
  <c r="O38" i="13" s="1"/>
  <c r="H38" i="13"/>
  <c r="I38" i="13" s="1"/>
  <c r="M37" i="13"/>
  <c r="H37" i="13"/>
  <c r="I37" i="13" s="1"/>
  <c r="R29" i="13"/>
  <c r="R30" i="13"/>
  <c r="M36" i="13"/>
  <c r="H36" i="13"/>
  <c r="I36" i="13" s="1"/>
  <c r="M34" i="13"/>
  <c r="O34" i="13" s="1"/>
  <c r="H34" i="13"/>
  <c r="I34" i="13" s="1"/>
  <c r="M33" i="13"/>
  <c r="O33" i="13" s="1"/>
  <c r="H33" i="13"/>
  <c r="I33" i="13" s="1"/>
  <c r="M32" i="13"/>
  <c r="H32" i="13"/>
  <c r="I32" i="13" s="1"/>
  <c r="R22" i="13"/>
  <c r="F28" i="2"/>
  <c r="G28" i="2" s="1"/>
  <c r="K32" i="10"/>
  <c r="M32" i="10" s="1"/>
  <c r="F32" i="10"/>
  <c r="G32" i="10" s="1"/>
  <c r="K30" i="10"/>
  <c r="M30" i="10" s="1"/>
  <c r="F30" i="10"/>
  <c r="K30" i="11"/>
  <c r="P30" i="11" s="1"/>
  <c r="F30" i="11"/>
  <c r="K32" i="11"/>
  <c r="M32" i="11" s="1"/>
  <c r="F32" i="11"/>
  <c r="G32" i="11" s="1"/>
  <c r="K32" i="3"/>
  <c r="P32" i="3" s="1"/>
  <c r="F32" i="3"/>
  <c r="G32" i="3" s="1"/>
  <c r="K28" i="3"/>
  <c r="P28" i="3" s="1"/>
  <c r="F28" i="3"/>
  <c r="K24" i="4"/>
  <c r="M24" i="4" s="1"/>
  <c r="F24" i="4"/>
  <c r="G24" i="4" s="1"/>
  <c r="K26" i="4"/>
  <c r="M26" i="4" s="1"/>
  <c r="F26" i="4"/>
  <c r="G26" i="4" s="1"/>
  <c r="F26" i="2"/>
  <c r="K24" i="10"/>
  <c r="M24" i="10" s="1"/>
  <c r="F24" i="10"/>
  <c r="G24" i="10" s="1"/>
  <c r="K22" i="10"/>
  <c r="M22" i="10" s="1"/>
  <c r="F22" i="10"/>
  <c r="G22" i="10" s="1"/>
  <c r="K34" i="11"/>
  <c r="F34" i="11"/>
  <c r="G34" i="11" s="1"/>
  <c r="K24" i="11"/>
  <c r="M24" i="11" s="1"/>
  <c r="F24" i="11"/>
  <c r="G24" i="11" s="1"/>
  <c r="K24" i="3"/>
  <c r="M24" i="3" s="1"/>
  <c r="F24" i="3"/>
  <c r="K20" i="3"/>
  <c r="M20" i="3" s="1"/>
  <c r="F20" i="3"/>
  <c r="G20" i="3" s="1"/>
  <c r="K30" i="4"/>
  <c r="M30" i="4" s="1"/>
  <c r="F30" i="4"/>
  <c r="G30" i="4" s="1"/>
  <c r="K28" i="4"/>
  <c r="M28" i="4" s="1"/>
  <c r="F28" i="4"/>
  <c r="G28" i="4" s="1"/>
  <c r="M20" i="12"/>
  <c r="O20" i="12" s="1"/>
  <c r="H20" i="12"/>
  <c r="I20" i="12" s="1"/>
  <c r="K34" i="10"/>
  <c r="P34" i="10" s="1"/>
  <c r="F34" i="10"/>
  <c r="G34" i="10" s="1"/>
  <c r="K20" i="10"/>
  <c r="F20" i="10"/>
  <c r="G20" i="10" s="1"/>
  <c r="K22" i="11"/>
  <c r="P22" i="11" s="1"/>
  <c r="F22" i="11"/>
  <c r="G22" i="11" s="1"/>
  <c r="K20" i="11"/>
  <c r="M20" i="11" s="1"/>
  <c r="F20" i="11"/>
  <c r="G20" i="11" s="1"/>
  <c r="K30" i="3"/>
  <c r="P30" i="3" s="1"/>
  <c r="F30" i="3"/>
  <c r="K34" i="3"/>
  <c r="P34" i="3" s="1"/>
  <c r="F34" i="3"/>
  <c r="G34" i="3" s="1"/>
  <c r="K22" i="4"/>
  <c r="F22" i="4"/>
  <c r="G22" i="4" s="1"/>
  <c r="K34" i="4"/>
  <c r="P34" i="4" s="1"/>
  <c r="F34" i="4"/>
  <c r="G34" i="4" s="1"/>
  <c r="F30" i="2"/>
  <c r="K26" i="10"/>
  <c r="M26" i="10" s="1"/>
  <c r="F26" i="10"/>
  <c r="G26" i="10" s="1"/>
  <c r="K28" i="10"/>
  <c r="P28" i="10" s="1"/>
  <c r="F28" i="10"/>
  <c r="G28" i="10" s="1"/>
  <c r="K28" i="11"/>
  <c r="P28" i="11" s="1"/>
  <c r="F28" i="11"/>
  <c r="G28" i="11" s="1"/>
  <c r="K26" i="11"/>
  <c r="M26" i="11" s="1"/>
  <c r="F26" i="11"/>
  <c r="K26" i="3"/>
  <c r="P26" i="3" s="1"/>
  <c r="F26" i="3"/>
  <c r="G26" i="3" s="1"/>
  <c r="K22" i="3"/>
  <c r="P22" i="3" s="1"/>
  <c r="F22" i="3"/>
  <c r="G22" i="3" s="1"/>
  <c r="K32" i="4"/>
  <c r="P32" i="4" s="1"/>
  <c r="F32" i="4"/>
  <c r="G32" i="4" s="1"/>
  <c r="K20" i="4"/>
  <c r="M20" i="4" s="1"/>
  <c r="F20" i="4"/>
  <c r="G20" i="4" s="1"/>
  <c r="P24" i="4"/>
  <c r="F34" i="2"/>
  <c r="F32" i="2"/>
  <c r="G32" i="2" s="1"/>
  <c r="P22" i="4"/>
  <c r="P32" i="10"/>
  <c r="P24" i="10"/>
  <c r="Q20" i="12"/>
  <c r="Q20" i="13"/>
  <c r="P20" i="21"/>
  <c r="Q20" i="21" s="1"/>
  <c r="N20" i="21"/>
  <c r="N20" i="7"/>
  <c r="P20" i="7"/>
  <c r="Q20" i="7" s="1"/>
  <c r="O20" i="11"/>
  <c r="O20" i="4"/>
  <c r="P28" i="4"/>
  <c r="O20" i="10"/>
  <c r="M20" i="10"/>
  <c r="O20" i="3"/>
  <c r="L34" i="2"/>
  <c r="O34" i="2" s="1"/>
  <c r="L20" i="2"/>
  <c r="P34" i="11"/>
  <c r="P22" i="10"/>
  <c r="P26" i="10"/>
  <c r="L32" i="2"/>
  <c r="M22" i="4"/>
  <c r="G30" i="3"/>
  <c r="G26" i="11"/>
  <c r="G30" i="11"/>
  <c r="G30" i="10"/>
  <c r="G28" i="3"/>
  <c r="M32" i="3"/>
  <c r="G24" i="3"/>
  <c r="L24" i="2"/>
  <c r="O24" i="2" s="1"/>
  <c r="P24" i="2" s="1"/>
  <c r="G24" i="2"/>
  <c r="L28" i="2"/>
  <c r="O28" i="2" s="1"/>
  <c r="P28" i="2" s="1"/>
  <c r="L30" i="2"/>
  <c r="O30" i="2" s="1"/>
  <c r="P30" i="2" s="1"/>
  <c r="G30" i="2"/>
  <c r="L22" i="2"/>
  <c r="O22" i="2" s="1"/>
  <c r="P22" i="2" s="1"/>
  <c r="G22" i="2"/>
  <c r="L26" i="2"/>
  <c r="O26" i="2" s="1"/>
  <c r="P26" i="2" s="1"/>
  <c r="G26" i="2"/>
  <c r="G34" i="2"/>
  <c r="M34" i="11"/>
  <c r="M22" i="11"/>
  <c r="Z20" i="13"/>
  <c r="E20" i="13" s="1"/>
  <c r="R28" i="13" l="1"/>
  <c r="R24" i="12"/>
  <c r="R33" i="12"/>
  <c r="M30" i="11"/>
  <c r="M32" i="4"/>
  <c r="P24" i="11"/>
  <c r="R24" i="13"/>
  <c r="R36" i="12"/>
  <c r="R34" i="12"/>
  <c r="M28" i="11"/>
  <c r="M34" i="10"/>
  <c r="M30" i="3"/>
  <c r="R38" i="13"/>
  <c r="R21" i="13"/>
  <c r="R32" i="12"/>
  <c r="R28" i="12"/>
  <c r="R34" i="13"/>
  <c r="O32" i="13"/>
  <c r="R32" i="13"/>
  <c r="O37" i="13"/>
  <c r="R37" i="13"/>
  <c r="O25" i="13"/>
  <c r="R25" i="13"/>
  <c r="O26" i="13"/>
  <c r="R26" i="13"/>
  <c r="R33" i="13"/>
  <c r="O36" i="13"/>
  <c r="R36" i="13"/>
  <c r="P30" i="10"/>
  <c r="P24" i="3"/>
  <c r="M34" i="3"/>
  <c r="P20" i="10"/>
  <c r="M26" i="3"/>
  <c r="M34" i="4"/>
  <c r="P26" i="4"/>
  <c r="P30" i="4"/>
  <c r="P20" i="4"/>
  <c r="P32" i="11"/>
  <c r="P26" i="11"/>
  <c r="R20" i="12"/>
  <c r="P20" i="11"/>
  <c r="M28" i="10"/>
  <c r="M28" i="3"/>
  <c r="M22" i="3"/>
  <c r="P20" i="3"/>
  <c r="M20" i="13"/>
  <c r="O20" i="13" s="1"/>
  <c r="H20" i="13"/>
  <c r="I20" i="13" s="1"/>
  <c r="P34" i="2"/>
  <c r="M34" i="2"/>
  <c r="M32" i="2"/>
  <c r="O32" i="2"/>
  <c r="P32" i="2" s="1"/>
  <c r="O20" i="2"/>
  <c r="P20" i="2" s="1"/>
  <c r="M20" i="2"/>
  <c r="M30" i="2"/>
  <c r="M28" i="2"/>
  <c r="M26" i="2"/>
  <c r="M24" i="2"/>
  <c r="M22" i="2"/>
  <c r="R20" i="13" l="1"/>
</calcChain>
</file>

<file path=xl/sharedStrings.xml><?xml version="1.0" encoding="utf-8"?>
<sst xmlns="http://schemas.openxmlformats.org/spreadsheetml/2006/main" count="1301" uniqueCount="181">
  <si>
    <t>CURRENT</t>
  </si>
  <si>
    <t>Distribution Charge</t>
  </si>
  <si>
    <t>Off-peak Distr Chg</t>
  </si>
  <si>
    <t>Admin Charge</t>
  </si>
  <si>
    <t>CGS</t>
  </si>
  <si>
    <t>IGS</t>
  </si>
  <si>
    <t>AAGS</t>
  </si>
  <si>
    <t>RGS/VFD</t>
  </si>
  <si>
    <t>FT</t>
  </si>
  <si>
    <t>DGGS</t>
  </si>
  <si>
    <t>(MCF)</t>
  </si>
  <si>
    <t>IntraCompany</t>
  </si>
  <si>
    <t>Sales Customers</t>
  </si>
  <si>
    <t>Current</t>
  </si>
  <si>
    <t>BSC</t>
  </si>
  <si>
    <t>BSC (meters &lt; 5000 cfh)</t>
  </si>
  <si>
    <t>BSC (meters 5000 cfh or &gt;)</t>
  </si>
  <si>
    <t>PROPOSED</t>
  </si>
  <si>
    <t>Total</t>
  </si>
  <si>
    <t xml:space="preserve">Proposed </t>
  </si>
  <si>
    <t>Billing Factors</t>
  </si>
  <si>
    <t>Bill</t>
  </si>
  <si>
    <t xml:space="preserve">Increase </t>
  </si>
  <si>
    <t>DSM</t>
  </si>
  <si>
    <t>($)</t>
  </si>
  <si>
    <t>(%)</t>
  </si>
  <si>
    <t>GSC</t>
  </si>
  <si>
    <t>GLT</t>
  </si>
  <si>
    <t>MCF</t>
  </si>
  <si>
    <t>Basic</t>
  </si>
  <si>
    <t>Service</t>
  </si>
  <si>
    <t>Charge</t>
  </si>
  <si>
    <t>Residential Gas Service - Rate RGS</t>
  </si>
  <si>
    <t>Commercial Gas Service - Rate CGS</t>
  </si>
  <si>
    <t>Industrial Gas Service - Rate IGS</t>
  </si>
  <si>
    <t>As-Available Gas Service - Rate AAGS</t>
  </si>
  <si>
    <t>Total Firm Transportation Service (Non-Standby) Rate FT</t>
  </si>
  <si>
    <t>Special Contract - Intra-Company Sales</t>
  </si>
  <si>
    <t>Volume</t>
  </si>
  <si>
    <t>GSC / MCF</t>
  </si>
  <si>
    <t>DSM / MCF</t>
  </si>
  <si>
    <t>GLT / MCF</t>
  </si>
  <si>
    <t>meters &lt; 5,000 cfh</t>
  </si>
  <si>
    <t>meters &gt; 5,000 cfh</t>
  </si>
  <si>
    <t>As Available Gas Service (Rate AAGS)</t>
  </si>
  <si>
    <t>Distributed Generation Gas Service (Rate DGGS)</t>
  </si>
  <si>
    <t>Firm Transportation Service (Rate FT)</t>
  </si>
  <si>
    <t>Admin</t>
  </si>
  <si>
    <t>Source:  Billing Determinants file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</si>
  <si>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</si>
  <si>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</si>
  <si>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</si>
  <si>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</si>
  <si>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</si>
  <si>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</si>
  <si>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</si>
  <si>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</si>
  <si>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</si>
  <si>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</si>
  <si>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</si>
  <si>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</si>
  <si>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</si>
  <si>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</si>
  <si>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</si>
  <si>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 Description:</t>
  </si>
  <si>
    <t>Schedule Number:</t>
  </si>
  <si>
    <t>DATA: ____BASE PERIOD__X___FORECASTED PERIOD</t>
  </si>
  <si>
    <t>WORKPAPER REFERENCE NO(S):________</t>
  </si>
  <si>
    <t>A</t>
  </si>
  <si>
    <t>C</t>
  </si>
  <si>
    <t>D</t>
  </si>
  <si>
    <t>E</t>
  </si>
  <si>
    <t>F</t>
  </si>
  <si>
    <t>H</t>
  </si>
  <si>
    <t>I</t>
  </si>
  <si>
    <t>J</t>
  </si>
  <si>
    <t>B</t>
  </si>
  <si>
    <t>G</t>
  </si>
  <si>
    <t>CGS 1</t>
  </si>
  <si>
    <t>CGS 2</t>
  </si>
  <si>
    <t>IGS 1</t>
  </si>
  <si>
    <t>IGS 2</t>
  </si>
  <si>
    <t>DGGS 1</t>
  </si>
  <si>
    <t>DGGS 2</t>
  </si>
  <si>
    <t>GLT/Customer</t>
  </si>
  <si>
    <t>Assumptions:</t>
  </si>
  <si>
    <t>Demand Charge (Mcfd)</t>
  </si>
  <si>
    <t>Demand</t>
  </si>
  <si>
    <t>per Mcfd</t>
  </si>
  <si>
    <t>MCFD is the monthly billing demand and shall not be less than 48 Mcf per the tariff.</t>
  </si>
  <si>
    <t>SCHEDULE N (Gas)</t>
  </si>
  <si>
    <t>Calculations may vary from other schedules due to rounding</t>
  </si>
  <si>
    <t>Base Rate</t>
  </si>
  <si>
    <t>Distribution</t>
  </si>
  <si>
    <t>per Mcf</t>
  </si>
  <si>
    <t xml:space="preserve">Distribution </t>
  </si>
  <si>
    <t>Average Usage (mcf)</t>
  </si>
  <si>
    <t>Distributed Generation Gas Service - Rate DGGS</t>
  </si>
  <si>
    <t>Source:  Schedule M-2.2 &amp; M-2.3</t>
  </si>
  <si>
    <t>Local Gas</t>
  </si>
  <si>
    <t>LGDS</t>
  </si>
  <si>
    <t>Basic Service and Admin Charge</t>
  </si>
  <si>
    <t>Sales Service - Commercial</t>
  </si>
  <si>
    <t>Sales Service - Industrial</t>
  </si>
  <si>
    <t>Substitute Gas Sales Service - Rate SGSS - Commercial</t>
  </si>
  <si>
    <t>Substitute Gas Sales Service - Rate SGSS - Industrial</t>
  </si>
  <si>
    <t>Substitute Gas Sales Service (SGSS) - Commercial</t>
  </si>
  <si>
    <t>Basic Service Charge</t>
  </si>
  <si>
    <t>Local Gas Delivery Gas Service (LGDS)</t>
  </si>
  <si>
    <t>Firm Industrial Gas Service (Rate IGS)</t>
  </si>
  <si>
    <t>Firm Commercial Gas Service (Rate CGS)</t>
  </si>
  <si>
    <t>Residential Gas Service (Rate RGS) / Volunteer Fire Dept (Rate VFD)</t>
  </si>
  <si>
    <t>Special Contract</t>
  </si>
  <si>
    <t>Intra-Company</t>
  </si>
  <si>
    <t>Delivery Service</t>
  </si>
  <si>
    <t>Local Gas Delivery Service - Rate LGDS</t>
  </si>
  <si>
    <t>R. M. CONROY</t>
  </si>
  <si>
    <t>***No LG&amp;E Customers on this rate schedule***</t>
  </si>
  <si>
    <t>SC</t>
  </si>
  <si>
    <t>SGSS-C</t>
  </si>
  <si>
    <t>SGSS-I</t>
  </si>
  <si>
    <t>Intra-Company Special Contracts</t>
  </si>
  <si>
    <t>Billing Factors calculated as a unit charge based on forecast period revenues and volumes ($/Mcf)</t>
  </si>
  <si>
    <t>Mcf</t>
  </si>
  <si>
    <t>Mcf-D</t>
  </si>
  <si>
    <t>Billing Factors calculated based on SGSS-Commercial as a proxy  for the SGSS-Industrial</t>
  </si>
  <si>
    <t>For the 2020 Rate Case Filing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</si>
  <si>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</si>
  <si>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</si>
  <si>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</si>
  <si>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</si>
  <si>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</si>
  <si>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</si>
  <si>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</si>
  <si>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</si>
  <si>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1, 2021 TO JUNE 30, 2022</t>
  </si>
  <si>
    <t>FROM JULY 1, 2021 TO JUNE 30, 2022</t>
  </si>
  <si>
    <t>FORECAST PERIOD FOR THE 12 MONTHS ENDED JUNE 30, 2022</t>
  </si>
  <si>
    <t>FOR THE 12 MONTHS ENDED JUNE 30, 2022</t>
  </si>
  <si>
    <t>K</t>
  </si>
  <si>
    <t>L</t>
  </si>
  <si>
    <t>M</t>
  </si>
  <si>
    <t>N</t>
  </si>
  <si>
    <t>Surcredit</t>
  </si>
  <si>
    <t xml:space="preserve">Bill With </t>
  </si>
  <si>
    <t>[J + L]</t>
  </si>
  <si>
    <t>[(M - I)/I]</t>
  </si>
  <si>
    <t>Per MCF</t>
  </si>
  <si>
    <t>Base Revenue As Billed</t>
  </si>
  <si>
    <t># OF CUSTOMERS MONTHS</t>
  </si>
  <si>
    <t>CASE NO. 2020-00350</t>
  </si>
  <si>
    <t>Economic Relief Surcredit</t>
  </si>
  <si>
    <t>Project</t>
  </si>
  <si>
    <t>Elimination</t>
  </si>
  <si>
    <t>GLT Elimination</t>
  </si>
  <si>
    <t>Since this rate has no customers, GLT elimination uses the FT rate</t>
  </si>
  <si>
    <t>Average Demand</t>
  </si>
  <si>
    <t>Customer Months</t>
  </si>
  <si>
    <t>Demand Charge (Mcf)</t>
  </si>
  <si>
    <t>Load</t>
  </si>
  <si>
    <t>Factor</t>
  </si>
  <si>
    <t>Blended GLT Mechanism with similar rate classes (IGS, DGGS)</t>
  </si>
  <si>
    <t>Blended GLT Elimination with similar rate classes (IGS, DGGS)</t>
  </si>
  <si>
    <t>***No LG&amp;E Customers on this rate schedule and meter size***</t>
  </si>
  <si>
    <t>Blended GLT Elimination with similar rate classes (CGS, SGSS)</t>
  </si>
  <si>
    <t>Blended GLT Mechanism with similar rate classes (CGS, SGSS)</t>
  </si>
  <si>
    <t>GLT Elimination / MCF</t>
  </si>
  <si>
    <t>Used blended rate for GLT (CGS, SGSS)</t>
  </si>
  <si>
    <t>Used blended rate for GLT Elimination (CGS, SGSS)</t>
  </si>
  <si>
    <t>Since this rate has no customers, billing factors came from the SGSS - Commercial rate which blended CGS and SGSS</t>
  </si>
  <si>
    <t>Since this rate has no customers, GLT elimination came from the SGSS - Commercial rate which blended CGS and SGSS</t>
  </si>
  <si>
    <t>Used blended rate for GLT (IGS, DGGS)</t>
  </si>
  <si>
    <t>Used blended rate for GLT Elimination (IGS, DGGS)</t>
  </si>
  <si>
    <t>Billing Factors calculated based on FT as a proxy for the LGDS</t>
  </si>
  <si>
    <t>Since this rate has no customers, billing factors come from the FT rate</t>
  </si>
  <si>
    <t>Economic</t>
  </si>
  <si>
    <t>Relief</t>
  </si>
  <si>
    <t>Monthly</t>
  </si>
  <si>
    <t>Substitute Gas Sales Service (SGSS) - Industrial</t>
  </si>
  <si>
    <t>Typical Gas Bill Comparison under Current &amp; Proposed Rates</t>
  </si>
  <si>
    <t>Substitute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</si>
</sst>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[$-409]mmm\-yy;@"/>
    <numFmt numFmtId="166" formatCode="0.0"/>
    <numFmt numFmtId="167" formatCode="&quot;$&quot;#,##0.00000"/>
    <numFmt numFmtId="168" formatCode="0.0%"/>
    <numFmt numFmtId="169" formatCode="#,##0.0"/>
    <numFmt numFmtId="170" formatCode="_(&quot;$&quot;* #,##0.0000000_);_(&quot;$&quot;* \(#,##0.0000000\);_(&quot;$&quot;* &quot;-&quot;??_);_(@_)"/>
    <numFmt numFmtId="171" formatCode="&quot;$&quot;#,##0.0000_);[Red]\(&quot;$&quot;#,##0.0000\)"/>
    <numFmt numFmtId="172" formatCode="_(&quot;$&quot;* #,##0.00000000_);_(&quot;$&quot;* \(#,##0.00000000\);_(&quot;$&quot;* &quot;-&quot;_);_(@_)"/>
    <numFmt numFmtId="173" formatCode="0.00000"/>
    <numFmt numFmtId="174" formatCode="&quot;$&quot;#,##0.00000_);[Red]\(&quot;$&quot;#,##0.00000\)"/>
    <numFmt numFmtId="175" formatCode="&quot;$&quot;#,##0.0000_);\(&quot;$&quot;#,##0.0000\)"/>
    <numFmt numFmtId="176" formatCode="0.00000000"/>
    <numFmt numFmtId="177" formatCode="0.000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1"/>
      <color theme="3"/>
      <name val="Calibri"/>
      <family val="2"/>
      <scheme val="minor"/>
    </font>
    <font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10" fillId="0" borderId="0"/>
    <xf numFmtId="0" fontId="4" fillId="0" borderId="0"/>
    <xf numFmtId="41" fontId="1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2" quotePrefix="1" applyFont="1" applyFill="1" applyBorder="1" applyAlignment="1">
      <alignment horizontal="left"/>
    </xf>
    <xf numFmtId="42" fontId="0" fillId="0" borderId="0" xfId="0" applyNumberFormat="1"/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3" fillId="0" borderId="0" xfId="0" quotePrefix="1" applyNumberFormat="1" applyFont="1" applyFill="1" applyAlignment="1">
      <alignment horizontal="center" wrapText="1"/>
    </xf>
    <xf numFmtId="0" fontId="3" fillId="0" borderId="0" xfId="0" applyFont="1" applyFill="1"/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/>
    <xf numFmtId="167" fontId="3" fillId="0" borderId="0" xfId="0" applyNumberFormat="1" applyFont="1" applyFill="1"/>
    <xf numFmtId="0" fontId="3" fillId="0" borderId="0" xfId="0" applyFont="1" applyFill="1" applyAlignme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170" fontId="0" fillId="0" borderId="0" xfId="0" applyNumberFormat="1"/>
    <xf numFmtId="0" fontId="7" fillId="0" borderId="0" xfId="0" applyFont="1"/>
    <xf numFmtId="0" fontId="7" fillId="0" borderId="0" xfId="0" applyFont="1" applyFill="1"/>
    <xf numFmtId="44" fontId="7" fillId="0" borderId="0" xfId="0" applyNumberFormat="1" applyFont="1" applyFill="1"/>
    <xf numFmtId="168" fontId="7" fillId="0" borderId="0" xfId="1" applyNumberFormat="1" applyFont="1" applyFill="1" applyAlignment="1">
      <alignment horizontal="center"/>
    </xf>
    <xf numFmtId="8" fontId="7" fillId="0" borderId="0" xfId="0" applyNumberFormat="1" applyFont="1"/>
    <xf numFmtId="44" fontId="7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3" fontId="0" fillId="2" borderId="0" xfId="0" applyNumberFormat="1" applyFill="1"/>
    <xf numFmtId="0" fontId="4" fillId="0" borderId="0" xfId="3" applyFont="1"/>
    <xf numFmtId="0" fontId="3" fillId="0" borderId="1" xfId="3" applyFont="1" applyBorder="1"/>
    <xf numFmtId="49" fontId="4" fillId="0" borderId="0" xfId="3" applyNumberFormat="1" applyFont="1" applyAlignment="1">
      <alignment horizontal="left"/>
    </xf>
    <xf numFmtId="0" fontId="9" fillId="0" borderId="0" xfId="3" applyFont="1"/>
    <xf numFmtId="0" fontId="4" fillId="0" borderId="0" xfId="3" quotePrefix="1" applyFont="1" applyAlignment="1">
      <alignment horizontal="left"/>
    </xf>
    <xf numFmtId="0" fontId="4" fillId="0" borderId="0" xfId="4"/>
    <xf numFmtId="0" fontId="7" fillId="0" borderId="0" xfId="0" applyFont="1" applyAlignment="1">
      <alignment horizontal="right"/>
    </xf>
    <xf numFmtId="169" fontId="7" fillId="0" borderId="0" xfId="0" applyNumberFormat="1" applyFont="1"/>
    <xf numFmtId="44" fontId="0" fillId="0" borderId="0" xfId="0" applyNumberFormat="1" applyFill="1" applyAlignment="1"/>
    <xf numFmtId="0" fontId="4" fillId="0" borderId="0" xfId="0" quotePrefix="1" applyFont="1" applyFill="1" applyAlignment="1">
      <alignment horizontal="left" indent="1"/>
    </xf>
    <xf numFmtId="0" fontId="7" fillId="0" borderId="0" xfId="0" quotePrefix="1" applyFont="1" applyAlignment="1">
      <alignment horizontal="left" indent="1"/>
    </xf>
    <xf numFmtId="0" fontId="0" fillId="0" borderId="0" xfId="0" applyFill="1"/>
    <xf numFmtId="14" fontId="4" fillId="0" borderId="0" xfId="3" quotePrefix="1" applyNumberFormat="1" applyFont="1" applyAlignment="1">
      <alignment horizontal="left"/>
    </xf>
    <xf numFmtId="4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0" xfId="5"/>
    <xf numFmtId="0" fontId="3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0" fontId="0" fillId="3" borderId="0" xfId="0" applyFill="1"/>
    <xf numFmtId="0" fontId="1" fillId="0" borderId="0" xfId="5" applyFont="1"/>
    <xf numFmtId="0" fontId="7" fillId="0" borderId="0" xfId="0" applyFont="1" applyAlignment="1">
      <alignment horizontal="left" indent="1"/>
    </xf>
    <xf numFmtId="0" fontId="4" fillId="0" borderId="0" xfId="4" quotePrefix="1" applyAlignment="1">
      <alignment horizontal="left"/>
    </xf>
    <xf numFmtId="0" fontId="12" fillId="0" borderId="0" xfId="5" applyFont="1" applyFill="1" applyAlignment="1">
      <alignment horizontal="center"/>
    </xf>
    <xf numFmtId="7" fontId="7" fillId="0" borderId="0" xfId="0" applyNumberFormat="1" applyFont="1"/>
    <xf numFmtId="168" fontId="7" fillId="0" borderId="0" xfId="1" applyNumberFormat="1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70" fontId="0" fillId="0" borderId="0" xfId="0" applyNumberFormat="1" applyBorder="1"/>
    <xf numFmtId="0" fontId="2" fillId="0" borderId="1" xfId="0" applyFont="1" applyFill="1" applyBorder="1" applyAlignment="1">
      <alignment horizontal="center"/>
    </xf>
    <xf numFmtId="0" fontId="7" fillId="0" borderId="0" xfId="0" applyFont="1" applyBorder="1"/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12" fillId="0" borderId="0" xfId="0" applyFont="1"/>
    <xf numFmtId="0" fontId="3" fillId="0" borderId="0" xfId="4" applyFont="1"/>
    <xf numFmtId="14" fontId="12" fillId="0" borderId="0" xfId="0" applyNumberFormat="1" applyFont="1" applyAlignment="1">
      <alignment horizontal="right"/>
    </xf>
    <xf numFmtId="14" fontId="12" fillId="0" borderId="0" xfId="0" quotePrefix="1" applyNumberFormat="1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 wrapText="1"/>
    </xf>
    <xf numFmtId="0" fontId="1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Border="1"/>
    <xf numFmtId="14" fontId="12" fillId="0" borderId="0" xfId="0" applyNumberFormat="1" applyFont="1" applyBorder="1" applyAlignment="1">
      <alignment horizontal="right"/>
    </xf>
    <xf numFmtId="14" fontId="7" fillId="0" borderId="0" xfId="0" applyNumberFormat="1" applyFont="1" applyBorder="1" applyAlignment="1">
      <alignment horizontal="right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7" fillId="0" borderId="3" xfId="0" applyNumberFormat="1" applyFont="1" applyBorder="1"/>
    <xf numFmtId="0" fontId="7" fillId="0" borderId="3" xfId="0" applyFont="1" applyBorder="1"/>
    <xf numFmtId="44" fontId="7" fillId="0" borderId="3" xfId="0" applyNumberFormat="1" applyFont="1" applyFill="1" applyBorder="1"/>
    <xf numFmtId="168" fontId="7" fillId="0" borderId="3" xfId="1" applyNumberFormat="1" applyFont="1" applyFill="1" applyBorder="1" applyAlignment="1">
      <alignment horizontal="center"/>
    </xf>
    <xf numFmtId="8" fontId="7" fillId="0" borderId="0" xfId="0" applyNumberFormat="1" applyFont="1" applyFill="1"/>
    <xf numFmtId="7" fontId="14" fillId="0" borderId="0" xfId="0" applyNumberFormat="1" applyFont="1"/>
    <xf numFmtId="172" fontId="0" fillId="0" borderId="0" xfId="0" applyNumberFormat="1"/>
    <xf numFmtId="169" fontId="7" fillId="0" borderId="0" xfId="0" applyNumberFormat="1" applyFont="1" applyBorder="1"/>
    <xf numFmtId="44" fontId="4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8" fontId="15" fillId="0" borderId="0" xfId="0" applyNumberFormat="1" applyFont="1" applyFill="1" applyAlignment="1">
      <alignment horizontal="center"/>
    </xf>
    <xf numFmtId="0" fontId="15" fillId="0" borderId="0" xfId="0" applyFont="1" applyFill="1"/>
    <xf numFmtId="164" fontId="15" fillId="0" borderId="0" xfId="0" applyNumberFormat="1" applyFont="1" applyFill="1" applyAlignment="1">
      <alignment horizontal="center"/>
    </xf>
    <xf numFmtId="8" fontId="3" fillId="0" borderId="0" xfId="0" quotePrefix="1" applyNumberFormat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43" fontId="0" fillId="0" borderId="0" xfId="9" applyFont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12" fillId="0" borderId="0" xfId="0" applyNumberFormat="1" applyFont="1"/>
    <xf numFmtId="0" fontId="3" fillId="0" borderId="0" xfId="0" applyFont="1" applyFill="1" applyBorder="1" applyAlignment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4" fillId="0" borderId="0" xfId="3" applyNumberFormat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4" fillId="0" borderId="0" xfId="3" quotePrefix="1" applyNumberFormat="1" applyFill="1" applyAlignment="1">
      <alignment horizontal="left"/>
    </xf>
    <xf numFmtId="0" fontId="3" fillId="0" borderId="1" xfId="0" quotePrefix="1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174" fontId="15" fillId="0" borderId="0" xfId="0" applyNumberFormat="1" applyFont="1" applyFill="1" applyAlignment="1">
      <alignment horizontal="center"/>
    </xf>
    <xf numFmtId="173" fontId="16" fillId="0" borderId="0" xfId="0" applyNumberFormat="1" applyFont="1" applyFill="1" applyAlignment="1">
      <alignment horizontal="center"/>
    </xf>
    <xf numFmtId="171" fontId="15" fillId="0" borderId="0" xfId="0" applyNumberFormat="1" applyFont="1" applyFill="1" applyAlignment="1">
      <alignment horizontal="center"/>
    </xf>
    <xf numFmtId="175" fontId="15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5" fillId="0" borderId="0" xfId="0" applyNumberFormat="1" applyFont="1" applyFill="1" applyAlignment="1">
      <alignment horizontal="center"/>
    </xf>
    <xf numFmtId="169" fontId="15" fillId="0" borderId="0" xfId="0" applyNumberFormat="1" applyFont="1" applyFill="1" applyAlignment="1">
      <alignment horizontal="center"/>
    </xf>
    <xf numFmtId="37" fontId="15" fillId="0" borderId="0" xfId="9" applyNumberFormat="1" applyFont="1" applyFill="1"/>
    <xf numFmtId="3" fontId="15" fillId="0" borderId="0" xfId="0" applyNumberFormat="1" applyFont="1" applyFill="1"/>
    <xf numFmtId="42" fontId="15" fillId="0" borderId="0" xfId="0" applyNumberFormat="1" applyFont="1" applyFill="1"/>
    <xf numFmtId="169" fontId="15" fillId="0" borderId="0" xfId="0" applyNumberFormat="1" applyFont="1" applyFill="1"/>
    <xf numFmtId="169" fontId="15" fillId="0" borderId="0" xfId="0" applyNumberFormat="1" applyFont="1" applyFill="1" applyBorder="1"/>
    <xf numFmtId="0" fontId="4" fillId="0" borderId="1" xfId="0" applyFont="1" applyFill="1" applyBorder="1" applyAlignment="1"/>
    <xf numFmtId="166" fontId="0" fillId="0" borderId="0" xfId="0" applyNumberFormat="1"/>
    <xf numFmtId="0" fontId="3" fillId="0" borderId="1" xfId="0" applyFont="1" applyBorder="1" applyAlignment="1">
      <alignment horizontal="center"/>
    </xf>
    <xf numFmtId="9" fontId="7" fillId="0" borderId="0" xfId="1" applyFont="1"/>
    <xf numFmtId="0" fontId="3" fillId="0" borderId="0" xfId="0" quotePrefix="1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37" fontId="0" fillId="0" borderId="0" xfId="0" applyNumberFormat="1" applyFill="1"/>
    <xf numFmtId="3" fontId="0" fillId="0" borderId="0" xfId="0" applyNumberFormat="1"/>
    <xf numFmtId="166" fontId="0" fillId="0" borderId="0" xfId="0" applyNumberFormat="1" applyFill="1"/>
    <xf numFmtId="0" fontId="14" fillId="0" borderId="0" xfId="0" applyFont="1" applyFill="1"/>
    <xf numFmtId="0" fontId="8" fillId="0" borderId="0" xfId="3" applyFont="1" applyAlignment="1">
      <alignment horizontal="center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3" fillId="0" borderId="0" xfId="0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0" xfId="0" quotePrefix="1" applyFont="1" applyFill="1" applyAlignment="1">
      <alignment horizontal="center" vertical="center" wrapText="1"/>
    </xf>
    <xf numFmtId="0" fontId="3" fillId="0" borderId="0" xfId="0" quotePrefix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0">
    <cellStyle name="Comma" xfId="9" builtinId="3"/>
    <cellStyle name="Normal" xfId="0" builtinId="0"/>
    <cellStyle name="Normal 10 2" xfId="4" xr:uid="{00000000-0005-0000-0000-000002000000}"/>
    <cellStyle name="Normal 13" xfId="6" xr:uid="{00000000-0005-0000-0000-000003000000}"/>
    <cellStyle name="Normal 2" xfId="5" xr:uid="{00000000-0005-0000-0000-000004000000}"/>
    <cellStyle name="Normal 2 19" xfId="7" xr:uid="{00000000-0005-0000-0000-000005000000}"/>
    <cellStyle name="Normal 47" xfId="3" xr:uid="{00000000-0005-0000-0000-000006000000}"/>
    <cellStyle name="Normal 48" xfId="2" xr:uid="{00000000-0005-0000-0000-000007000000}"/>
    <cellStyle name="Percent" xfId="1" builtinId="5"/>
    <cellStyle name="Percent 2" xfId="8" xr:uid="{00000000-0005-0000-0000-000009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99"/>
  </sheetPr>
  <dimension ref="A1:I48"/>
  <sheetViews>
    <sheetView tabSelected="1" zoomScale="80" zoomScaleNormal="80" workbookViewId="0">
      <selection sqref="A1:C1"/>
    </sheetView>
  </sheetViews>
  <sheetFormatPr defaultRowHeight="14.5" x14ac:dyDescent="0.35"/>
  <cols>
    <col min="1" max="1" width="39.1796875" style="37" bestFit="1" customWidth="1"/>
    <col min="2" max="2" width="1.7265625" style="37" customWidth="1"/>
    <col min="3" max="3" width="57.453125" style="37" bestFit="1" customWidth="1"/>
    <col min="8" max="8" width="17" bestFit="1" customWidth="1"/>
    <col min="9" max="9" width="15.54296875" customWidth="1"/>
  </cols>
  <sheetData>
    <row r="1" spans="1:9" ht="15.5" x14ac:dyDescent="0.35">
      <c r="A1" s="147" t="s">
        <v>49</v>
      </c>
      <c r="B1" s="147"/>
      <c r="C1" s="147"/>
    </row>
    <row r="2" spans="1:9" ht="15.5" x14ac:dyDescent="0.35">
      <c r="A2" s="147" t="s">
        <v>50</v>
      </c>
      <c r="B2" s="147"/>
      <c r="C2" s="147"/>
    </row>
    <row r="3" spans="1:9" ht="15.5" x14ac:dyDescent="0.35">
      <c r="A3" s="147" t="s">
        <v>126</v>
      </c>
      <c r="B3" s="147"/>
      <c r="C3" s="147"/>
    </row>
    <row r="8" spans="1:9" x14ac:dyDescent="0.35">
      <c r="A8" s="38" t="s">
        <v>51</v>
      </c>
      <c r="G8">
        <v>1</v>
      </c>
      <c r="H8" t="s">
        <v>7</v>
      </c>
      <c r="I8" t="str">
        <f t="shared" ref="I8:I20" si="0">("PAGE "&amp;G8&amp;" OF "&amp;$G$20)</f>
        <v>PAGE 1 OF 13</v>
      </c>
    </row>
    <row r="9" spans="1:9" x14ac:dyDescent="0.35">
      <c r="A9" s="37" t="s">
        <v>52</v>
      </c>
      <c r="C9" s="39" t="s">
        <v>49</v>
      </c>
      <c r="G9">
        <f>1+G8</f>
        <v>2</v>
      </c>
      <c r="H9" t="s">
        <v>78</v>
      </c>
      <c r="I9" t="str">
        <f t="shared" si="0"/>
        <v>PAGE 2 OF 13</v>
      </c>
    </row>
    <row r="10" spans="1:9" x14ac:dyDescent="0.35">
      <c r="A10" s="37" t="s">
        <v>53</v>
      </c>
      <c r="C10" s="122" t="s">
        <v>150</v>
      </c>
      <c r="G10">
        <f t="shared" ref="G10:G16" si="1">1+G9</f>
        <v>3</v>
      </c>
      <c r="H10" t="s">
        <v>79</v>
      </c>
      <c r="I10" t="str">
        <f t="shared" si="0"/>
        <v>PAGE 3 OF 13</v>
      </c>
    </row>
    <row r="11" spans="1:9" x14ac:dyDescent="0.35">
      <c r="A11" s="37" t="s">
        <v>54</v>
      </c>
      <c r="C11" s="113" t="s">
        <v>127</v>
      </c>
      <c r="G11">
        <f t="shared" si="1"/>
        <v>4</v>
      </c>
      <c r="H11" t="s">
        <v>80</v>
      </c>
      <c r="I11" t="str">
        <f t="shared" si="0"/>
        <v>PAGE 4 OF 13</v>
      </c>
    </row>
    <row r="12" spans="1:9" x14ac:dyDescent="0.35">
      <c r="C12" s="113" t="s">
        <v>128</v>
      </c>
      <c r="G12">
        <f t="shared" si="1"/>
        <v>5</v>
      </c>
      <c r="H12" t="s">
        <v>81</v>
      </c>
      <c r="I12" t="str">
        <f t="shared" si="0"/>
        <v>PAGE 5 OF 13</v>
      </c>
    </row>
    <row r="13" spans="1:9" x14ac:dyDescent="0.35">
      <c r="C13" s="113" t="s">
        <v>129</v>
      </c>
      <c r="G13">
        <f t="shared" si="1"/>
        <v>6</v>
      </c>
      <c r="H13" t="s">
        <v>6</v>
      </c>
      <c r="I13" t="str">
        <f t="shared" si="0"/>
        <v>PAGE 6 OF 13</v>
      </c>
    </row>
    <row r="14" spans="1:9" x14ac:dyDescent="0.35">
      <c r="C14" s="113" t="s">
        <v>130</v>
      </c>
      <c r="G14">
        <f t="shared" si="1"/>
        <v>7</v>
      </c>
      <c r="H14" t="s">
        <v>8</v>
      </c>
      <c r="I14" t="str">
        <f t="shared" si="0"/>
        <v>PAGE 7 OF 13</v>
      </c>
    </row>
    <row r="15" spans="1:9" x14ac:dyDescent="0.35">
      <c r="C15" s="113" t="s">
        <v>131</v>
      </c>
      <c r="G15">
        <f t="shared" si="1"/>
        <v>8</v>
      </c>
      <c r="H15" s="6" t="s">
        <v>118</v>
      </c>
      <c r="I15" t="str">
        <f t="shared" si="0"/>
        <v>PAGE 8 OF 13</v>
      </c>
    </row>
    <row r="16" spans="1:9" x14ac:dyDescent="0.35">
      <c r="C16" s="113" t="s">
        <v>132</v>
      </c>
      <c r="G16">
        <f t="shared" si="1"/>
        <v>9</v>
      </c>
      <c r="H16" t="s">
        <v>82</v>
      </c>
      <c r="I16" t="str">
        <f t="shared" si="0"/>
        <v>PAGE 9 OF 13</v>
      </c>
    </row>
    <row r="17" spans="1:9" x14ac:dyDescent="0.35">
      <c r="A17" s="37" t="s">
        <v>55</v>
      </c>
      <c r="C17" s="113" t="s">
        <v>133</v>
      </c>
      <c r="G17">
        <v>10</v>
      </c>
      <c r="H17" t="s">
        <v>83</v>
      </c>
      <c r="I17" t="str">
        <f t="shared" si="0"/>
        <v>PAGE 10 OF 13</v>
      </c>
    </row>
    <row r="18" spans="1:9" x14ac:dyDescent="0.35">
      <c r="C18" s="113" t="s">
        <v>134</v>
      </c>
      <c r="G18">
        <v>11</v>
      </c>
      <c r="H18" t="s">
        <v>119</v>
      </c>
      <c r="I18" t="str">
        <f t="shared" si="0"/>
        <v>PAGE 11 OF 13</v>
      </c>
    </row>
    <row r="19" spans="1:9" x14ac:dyDescent="0.35">
      <c r="C19" s="113" t="s">
        <v>135</v>
      </c>
      <c r="G19">
        <v>12</v>
      </c>
      <c r="H19" t="s">
        <v>120</v>
      </c>
      <c r="I19" t="str">
        <f t="shared" si="0"/>
        <v>PAGE 12 OF 13</v>
      </c>
    </row>
    <row r="20" spans="1:9" x14ac:dyDescent="0.35">
      <c r="C20" s="113" t="s">
        <v>136</v>
      </c>
      <c r="G20">
        <v>13</v>
      </c>
      <c r="H20" t="s">
        <v>100</v>
      </c>
      <c r="I20" t="str">
        <f t="shared" si="0"/>
        <v>PAGE 13 OF 13</v>
      </c>
    </row>
    <row r="21" spans="1:9" x14ac:dyDescent="0.35">
      <c r="C21" s="113" t="s">
        <v>137</v>
      </c>
    </row>
    <row r="22" spans="1:9" x14ac:dyDescent="0.35">
      <c r="C22" s="113" t="s">
        <v>138</v>
      </c>
    </row>
    <row r="24" spans="1:9" x14ac:dyDescent="0.35">
      <c r="A24" s="41" t="s">
        <v>64</v>
      </c>
      <c r="C24" s="49" t="s">
        <v>179</v>
      </c>
    </row>
    <row r="25" spans="1:9" x14ac:dyDescent="0.35">
      <c r="A25" s="41" t="s">
        <v>65</v>
      </c>
      <c r="C25" s="49" t="s">
        <v>90</v>
      </c>
    </row>
    <row r="26" spans="1:9" x14ac:dyDescent="0.35">
      <c r="A26" s="59" t="s">
        <v>85</v>
      </c>
      <c r="B26" s="53"/>
      <c r="C26" s="61" t="s">
        <v>91</v>
      </c>
    </row>
    <row r="27" spans="1:9" x14ac:dyDescent="0.35">
      <c r="C27" s="42"/>
    </row>
    <row r="28" spans="1:9" x14ac:dyDescent="0.35">
      <c r="A28" s="38" t="s">
        <v>56</v>
      </c>
      <c r="C28" s="40"/>
    </row>
    <row r="29" spans="1:9" x14ac:dyDescent="0.35">
      <c r="A29" s="37" t="s">
        <v>57</v>
      </c>
      <c r="C29" s="37" t="s">
        <v>58</v>
      </c>
    </row>
    <row r="30" spans="1:9" x14ac:dyDescent="0.35">
      <c r="A30" s="37" t="s">
        <v>59</v>
      </c>
      <c r="C30" s="37" t="s">
        <v>60</v>
      </c>
    </row>
    <row r="31" spans="1:9" x14ac:dyDescent="0.35">
      <c r="A31" s="37" t="s">
        <v>61</v>
      </c>
      <c r="C31" s="37" t="s">
        <v>62</v>
      </c>
    </row>
    <row r="33" spans="1:3" x14ac:dyDescent="0.35">
      <c r="C33" s="42" t="s">
        <v>66</v>
      </c>
    </row>
    <row r="34" spans="1:3" x14ac:dyDescent="0.35">
      <c r="C34" s="42" t="s">
        <v>67</v>
      </c>
    </row>
    <row r="35" spans="1:3" x14ac:dyDescent="0.35">
      <c r="A35" s="38" t="s">
        <v>63</v>
      </c>
    </row>
    <row r="36" spans="1:3" x14ac:dyDescent="0.35">
      <c r="A36" s="37" t="s">
        <v>116</v>
      </c>
      <c r="C36" s="37" t="str">
        <f>CONCATENATE($A$35,"   ", A36)</f>
        <v>WITNESS:   R. M. CONROY</v>
      </c>
    </row>
    <row r="37" spans="1:3" x14ac:dyDescent="0.35">
      <c r="C37" s="37" t="str">
        <f t="shared" ref="C37:C48" si="2">CONCATENATE($A$35,"   ", A37)</f>
        <v xml:space="preserve">WITNESS:   </v>
      </c>
    </row>
    <row r="38" spans="1:3" x14ac:dyDescent="0.35">
      <c r="C38" s="37" t="str">
        <f t="shared" si="2"/>
        <v xml:space="preserve">WITNESS:   </v>
      </c>
    </row>
    <row r="39" spans="1:3" x14ac:dyDescent="0.35">
      <c r="C39" s="37" t="str">
        <f t="shared" si="2"/>
        <v xml:space="preserve">WITNESS:   </v>
      </c>
    </row>
    <row r="40" spans="1:3" x14ac:dyDescent="0.35">
      <c r="C40" s="37" t="str">
        <f t="shared" si="2"/>
        <v xml:space="preserve">WITNESS:   </v>
      </c>
    </row>
    <row r="41" spans="1:3" x14ac:dyDescent="0.35">
      <c r="C41" s="37" t="str">
        <f t="shared" si="2"/>
        <v xml:space="preserve">WITNESS:   </v>
      </c>
    </row>
    <row r="42" spans="1:3" x14ac:dyDescent="0.35">
      <c r="C42" s="37" t="str">
        <f t="shared" si="2"/>
        <v xml:space="preserve">WITNESS:   </v>
      </c>
    </row>
    <row r="43" spans="1:3" x14ac:dyDescent="0.35">
      <c r="C43" s="37" t="str">
        <f t="shared" si="2"/>
        <v xml:space="preserve">WITNESS:   </v>
      </c>
    </row>
    <row r="44" spans="1:3" x14ac:dyDescent="0.35">
      <c r="C44" s="37" t="str">
        <f t="shared" si="2"/>
        <v xml:space="preserve">WITNESS:   </v>
      </c>
    </row>
    <row r="45" spans="1:3" x14ac:dyDescent="0.35">
      <c r="C45" s="37" t="str">
        <f t="shared" si="2"/>
        <v xml:space="preserve">WITNESS:   </v>
      </c>
    </row>
    <row r="46" spans="1:3" x14ac:dyDescent="0.35">
      <c r="C46" s="37" t="str">
        <f t="shared" si="2"/>
        <v xml:space="preserve">WITNESS:   </v>
      </c>
    </row>
    <row r="47" spans="1:3" x14ac:dyDescent="0.35">
      <c r="C47" s="37" t="str">
        <f t="shared" si="2"/>
        <v xml:space="preserve">WITNESS:   </v>
      </c>
    </row>
    <row r="48" spans="1:3" x14ac:dyDescent="0.35">
      <c r="C48" s="37" t="str">
        <f t="shared" si="2"/>
        <v xml:space="preserve">WITNESS:   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K46"/>
  <sheetViews>
    <sheetView zoomScale="70" zoomScaleNormal="70" zoomScaleSheetLayoutView="80" workbookViewId="0">
      <selection sqref="A1:Q1"/>
    </sheetView>
  </sheetViews>
  <sheetFormatPr defaultColWidth="9.1796875" defaultRowHeight="12.5" x14ac:dyDescent="0.25"/>
  <cols>
    <col min="1" max="1" width="9.26953125" style="26" bestFit="1" customWidth="1"/>
    <col min="2" max="2" width="9.26953125" style="26" customWidth="1"/>
    <col min="3" max="3" width="9.08984375" style="26" bestFit="1" customWidth="1"/>
    <col min="4" max="4" width="12" style="26" customWidth="1"/>
    <col min="5" max="6" width="13.54296875" style="26" customWidth="1"/>
    <col min="7" max="7" width="14.54296875" style="26" customWidth="1"/>
    <col min="8" max="8" width="12" style="26" customWidth="1"/>
    <col min="9" max="9" width="8.7265625" style="26" bestFit="1" customWidth="1"/>
    <col min="10" max="11" width="12" style="26" customWidth="1"/>
    <col min="12" max="12" width="12.7265625" style="26" bestFit="1" customWidth="1"/>
    <col min="13" max="13" width="13.7265625" style="26" customWidth="1"/>
    <col min="14" max="17" width="12" style="26" customWidth="1"/>
    <col min="18" max="21" width="4.26953125" style="26" customWidth="1"/>
    <col min="22" max="22" width="10.453125" style="26" customWidth="1"/>
    <col min="23" max="23" width="13.26953125" style="26" bestFit="1" customWidth="1"/>
    <col min="24" max="24" width="11.81640625" style="26" customWidth="1"/>
    <col min="25" max="25" width="11.08984375" style="26" bestFit="1" customWidth="1"/>
    <col min="26" max="30" width="17.26953125" style="26" customWidth="1"/>
    <col min="31" max="31" width="15.54296875" style="26" bestFit="1" customWidth="1"/>
    <col min="32" max="32" width="10.6328125" style="26" bestFit="1" customWidth="1"/>
    <col min="33" max="33" width="15.54296875" style="26" bestFit="1" customWidth="1"/>
    <col min="34" max="34" width="15.1796875" style="26" bestFit="1" customWidth="1"/>
    <col min="35" max="16384" width="9.1796875" style="26"/>
  </cols>
  <sheetData>
    <row r="1" spans="1:37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37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37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37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37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37" ht="13" x14ac:dyDescent="0.3">
      <c r="A6" s="73"/>
      <c r="B6" s="73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37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O7" s="74"/>
      <c r="P7" s="74"/>
      <c r="Q7" s="74" t="str">
        <f>+'Rate Case Constants'!C25</f>
        <v>SCHEDULE N (Gas)</v>
      </c>
    </row>
    <row r="8" spans="1:37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75"/>
      <c r="P8" s="75"/>
      <c r="Q8" s="75" t="str">
        <f>+'Rate Case Constants'!I14</f>
        <v>PAGE 7 OF 13</v>
      </c>
    </row>
    <row r="9" spans="1:37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74"/>
      <c r="P9" s="74"/>
      <c r="Q9" s="74" t="str">
        <f>+'Rate Case Constants'!C36</f>
        <v>WITNESS:   R. M. CONROY</v>
      </c>
    </row>
    <row r="10" spans="1:37" ht="13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85"/>
      <c r="O10" s="85"/>
      <c r="P10" s="85"/>
      <c r="Q10" s="85"/>
      <c r="R10" s="69"/>
      <c r="S10" s="69"/>
      <c r="T10" s="69"/>
      <c r="U10" s="69"/>
      <c r="V10" s="108" t="s">
        <v>26</v>
      </c>
      <c r="W10" s="54">
        <f>+INPUT!$I$47</f>
        <v>0</v>
      </c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7" ht="13" x14ac:dyDescent="0.3">
      <c r="A11" s="80" t="s">
        <v>46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69"/>
      <c r="S11" s="69"/>
      <c r="T11" s="69"/>
      <c r="U11" s="69"/>
      <c r="V11" s="108" t="s">
        <v>23</v>
      </c>
      <c r="W11" s="54">
        <f>+INPUT!$J$47</f>
        <v>0</v>
      </c>
      <c r="X11" s="12"/>
      <c r="Y11" s="12"/>
      <c r="Z11" s="18"/>
      <c r="AA11" s="18"/>
      <c r="AB11" s="18"/>
      <c r="AC11" s="12"/>
      <c r="AD11" s="12"/>
      <c r="AE11" s="27"/>
      <c r="AF11" s="27"/>
      <c r="AG11" s="27"/>
      <c r="AH11" s="27"/>
      <c r="AI11" s="27"/>
    </row>
    <row r="12" spans="1:37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V12" s="21" t="s">
        <v>27</v>
      </c>
      <c r="W12" s="17">
        <f>+INPUT!$K$47</f>
        <v>6.8403497366761479E-3</v>
      </c>
      <c r="X12" s="12"/>
      <c r="Y12" s="12"/>
      <c r="Z12" s="12"/>
      <c r="AA12" s="12"/>
      <c r="AB12" s="12"/>
      <c r="AC12" s="12"/>
      <c r="AD12" s="12"/>
      <c r="AE12" s="27"/>
      <c r="AF12" s="27"/>
      <c r="AG12" s="27"/>
      <c r="AH12" s="27"/>
      <c r="AI12" s="27"/>
    </row>
    <row r="13" spans="1:37" ht="13" x14ac:dyDescent="0.3">
      <c r="A13" s="12"/>
      <c r="B13" s="12"/>
      <c r="C13" s="12"/>
      <c r="D13" s="13" t="s">
        <v>68</v>
      </c>
      <c r="E13" s="14" t="s">
        <v>76</v>
      </c>
      <c r="F13" s="14" t="s">
        <v>69</v>
      </c>
      <c r="G13" s="14" t="s">
        <v>70</v>
      </c>
      <c r="H13" s="13" t="s">
        <v>71</v>
      </c>
      <c r="I13" s="13" t="s">
        <v>72</v>
      </c>
      <c r="J13" s="13" t="s">
        <v>77</v>
      </c>
      <c r="K13" s="14" t="s">
        <v>73</v>
      </c>
      <c r="L13" s="13" t="s">
        <v>74</v>
      </c>
      <c r="M13" s="13" t="s">
        <v>75</v>
      </c>
      <c r="N13" s="13" t="s">
        <v>139</v>
      </c>
      <c r="O13" s="13" t="s">
        <v>140</v>
      </c>
      <c r="P13" s="13" t="s">
        <v>141</v>
      </c>
      <c r="Q13" s="13" t="s">
        <v>142</v>
      </c>
      <c r="V13" s="12"/>
      <c r="W13" s="12"/>
      <c r="X13" s="12"/>
      <c r="Y13" s="12"/>
      <c r="Z13" s="12"/>
      <c r="AA13" s="12"/>
      <c r="AI13" s="27"/>
    </row>
    <row r="14" spans="1:37" ht="13" x14ac:dyDescent="0.3">
      <c r="A14" s="27"/>
      <c r="B14" s="27"/>
      <c r="C14" s="27"/>
      <c r="D14" s="62" t="s">
        <v>92</v>
      </c>
      <c r="E14" s="62" t="s">
        <v>92</v>
      </c>
      <c r="F14" s="62" t="s">
        <v>27</v>
      </c>
      <c r="G14" s="27"/>
      <c r="H14" s="27"/>
      <c r="I14" s="27"/>
      <c r="J14" s="27"/>
      <c r="K14" s="27"/>
      <c r="L14" s="13" t="s">
        <v>18</v>
      </c>
      <c r="M14" s="13" t="s">
        <v>18</v>
      </c>
      <c r="N14" s="27"/>
      <c r="O14" s="13" t="s">
        <v>175</v>
      </c>
      <c r="P14" s="13" t="s">
        <v>18</v>
      </c>
      <c r="Q14" s="13"/>
      <c r="V14" s="19" t="s">
        <v>0</v>
      </c>
      <c r="W14" s="19"/>
      <c r="X14" s="19"/>
      <c r="Y14" s="19"/>
      <c r="Z14" s="19"/>
      <c r="AA14" s="27"/>
      <c r="AB14" s="19" t="s">
        <v>17</v>
      </c>
      <c r="AC14" s="19"/>
      <c r="AD14" s="19"/>
      <c r="AE14" s="19"/>
      <c r="AF14" s="19"/>
      <c r="AG14" s="19"/>
      <c r="AH14" s="19"/>
      <c r="AI14" s="27"/>
      <c r="AJ14" s="27"/>
      <c r="AK14" s="27"/>
    </row>
    <row r="15" spans="1:37" ht="13" x14ac:dyDescent="0.3">
      <c r="A15" s="27"/>
      <c r="B15" s="23" t="s">
        <v>177</v>
      </c>
      <c r="C15" s="27"/>
      <c r="D15" s="13" t="s">
        <v>13</v>
      </c>
      <c r="E15" s="13" t="s">
        <v>19</v>
      </c>
      <c r="F15" s="13" t="s">
        <v>152</v>
      </c>
      <c r="G15" s="13"/>
      <c r="H15" s="13"/>
      <c r="I15" s="148" t="s">
        <v>20</v>
      </c>
      <c r="J15" s="148"/>
      <c r="K15" s="149"/>
      <c r="L15" s="13" t="s">
        <v>13</v>
      </c>
      <c r="M15" s="13" t="s">
        <v>19</v>
      </c>
      <c r="N15" s="13"/>
      <c r="O15" s="13" t="s">
        <v>176</v>
      </c>
      <c r="P15" s="13" t="s">
        <v>19</v>
      </c>
      <c r="Q15" s="13"/>
      <c r="V15" s="14"/>
      <c r="W15" s="14" t="s">
        <v>29</v>
      </c>
      <c r="Y15" s="13"/>
      <c r="Z15" s="14"/>
      <c r="AA15" s="27"/>
      <c r="AB15" s="14"/>
      <c r="AC15" s="14" t="s">
        <v>29</v>
      </c>
      <c r="AE15" s="13"/>
      <c r="AF15" s="14"/>
      <c r="AG15" s="14" t="s">
        <v>154</v>
      </c>
      <c r="AH15" s="14" t="s">
        <v>143</v>
      </c>
      <c r="AI15" s="27"/>
      <c r="AJ15" s="27"/>
      <c r="AK15" s="27"/>
    </row>
    <row r="16" spans="1:37" ht="13" x14ac:dyDescent="0.3">
      <c r="A16" s="23"/>
      <c r="B16" s="23" t="s">
        <v>159</v>
      </c>
      <c r="C16" s="23"/>
      <c r="D16" s="13" t="s">
        <v>21</v>
      </c>
      <c r="E16" s="13" t="s">
        <v>21</v>
      </c>
      <c r="F16" s="13" t="s">
        <v>153</v>
      </c>
      <c r="G16" s="13" t="s">
        <v>22</v>
      </c>
      <c r="H16" s="13" t="s">
        <v>22</v>
      </c>
      <c r="I16" s="13" t="s">
        <v>26</v>
      </c>
      <c r="J16" s="13" t="s">
        <v>23</v>
      </c>
      <c r="K16" s="13" t="s">
        <v>27</v>
      </c>
      <c r="L16" s="13" t="s">
        <v>21</v>
      </c>
      <c r="M16" s="13" t="s">
        <v>21</v>
      </c>
      <c r="N16" s="13" t="s">
        <v>22</v>
      </c>
      <c r="O16" s="13" t="s">
        <v>143</v>
      </c>
      <c r="P16" s="13" t="s">
        <v>144</v>
      </c>
      <c r="Q16" s="13" t="s">
        <v>22</v>
      </c>
      <c r="V16" s="14" t="s">
        <v>47</v>
      </c>
      <c r="W16" s="14" t="s">
        <v>30</v>
      </c>
      <c r="X16" s="14" t="s">
        <v>87</v>
      </c>
      <c r="Y16" s="13" t="s">
        <v>93</v>
      </c>
      <c r="Z16" s="14" t="s">
        <v>18</v>
      </c>
      <c r="AA16" s="27"/>
      <c r="AB16" s="14" t="s">
        <v>47</v>
      </c>
      <c r="AC16" s="14" t="s">
        <v>30</v>
      </c>
      <c r="AD16" s="14" t="s">
        <v>87</v>
      </c>
      <c r="AE16" s="13" t="s">
        <v>93</v>
      </c>
      <c r="AF16" s="14" t="s">
        <v>18</v>
      </c>
      <c r="AG16" s="14">
        <f>INPUT!L47</f>
        <v>1.4549671953849475E-2</v>
      </c>
      <c r="AH16" s="14">
        <f>INPUT!G34</f>
        <v>-6.1899999999999997E-2</v>
      </c>
      <c r="AI16" s="13"/>
      <c r="AJ16" s="13"/>
      <c r="AK16" s="13"/>
    </row>
    <row r="17" spans="1:37" ht="13" x14ac:dyDescent="0.3">
      <c r="A17" s="23" t="s">
        <v>124</v>
      </c>
      <c r="B17" s="23" t="s">
        <v>160</v>
      </c>
      <c r="C17" s="23" t="s">
        <v>123</v>
      </c>
      <c r="D17" s="76"/>
      <c r="E17" s="76"/>
      <c r="F17" s="76"/>
      <c r="G17" s="76" t="s">
        <v>24</v>
      </c>
      <c r="H17" s="77" t="s">
        <v>25</v>
      </c>
      <c r="I17" s="78"/>
      <c r="J17" s="78"/>
      <c r="K17" s="79"/>
      <c r="L17" s="76" t="s">
        <v>24</v>
      </c>
      <c r="M17" s="76" t="s">
        <v>24</v>
      </c>
      <c r="N17" s="77" t="s">
        <v>25</v>
      </c>
      <c r="O17" s="77"/>
      <c r="P17" s="77" t="s">
        <v>143</v>
      </c>
      <c r="Q17" s="77" t="s">
        <v>25</v>
      </c>
      <c r="V17" s="32" t="s">
        <v>31</v>
      </c>
      <c r="W17" s="123" t="s">
        <v>31</v>
      </c>
      <c r="X17" s="123" t="s">
        <v>31</v>
      </c>
      <c r="Y17" s="33" t="s">
        <v>31</v>
      </c>
      <c r="Z17" s="32" t="s">
        <v>21</v>
      </c>
      <c r="AA17" s="27"/>
      <c r="AB17" s="32" t="s">
        <v>31</v>
      </c>
      <c r="AC17" s="103" t="s">
        <v>31</v>
      </c>
      <c r="AD17" s="105" t="s">
        <v>31</v>
      </c>
      <c r="AE17" s="33" t="s">
        <v>31</v>
      </c>
      <c r="AF17" s="32" t="s">
        <v>21</v>
      </c>
      <c r="AG17" s="114" t="s">
        <v>147</v>
      </c>
      <c r="AH17" s="114" t="s">
        <v>147</v>
      </c>
      <c r="AI17" s="13"/>
      <c r="AJ17" s="13"/>
      <c r="AK17" s="13"/>
    </row>
    <row r="18" spans="1:37" ht="13" x14ac:dyDescent="0.3">
      <c r="A18" s="139"/>
      <c r="B18" s="139"/>
      <c r="C18" s="139"/>
      <c r="D18" s="71"/>
      <c r="E18" s="71"/>
      <c r="F18" s="115"/>
      <c r="G18" s="116" t="str">
        <f>("[ "&amp;E13&amp;" - ("&amp;F13&amp;" + "&amp;D13&amp;") ]")</f>
        <v>[ B - (C + A) ]</v>
      </c>
      <c r="H18" s="116" t="str">
        <f>("[ "&amp;G13&amp;" / "&amp;D13&amp;" ]")</f>
        <v>[ D / A ]</v>
      </c>
      <c r="I18" s="117"/>
      <c r="J18" s="117"/>
      <c r="K18" s="117"/>
      <c r="L18" s="116" t="str">
        <f>("["&amp;D13&amp;"+"&amp;F13&amp;"+"&amp;$I$13&amp;"+"&amp;$J$13&amp;"+"&amp;$K$13&amp;"]")</f>
        <v>[A+C+F+G+H]</v>
      </c>
      <c r="M18" s="116" t="str">
        <f>("["&amp;E13&amp;"+"&amp;I13&amp;"+"&amp;J13&amp;"+"&amp;K13&amp;"]")</f>
        <v>[B+F+G+H]</v>
      </c>
      <c r="N18" s="115" t="str">
        <f>("[("&amp;M13&amp;" - "&amp;L13&amp;") / "&amp;L13&amp;"]")</f>
        <v>[(J - I) / I]</v>
      </c>
      <c r="O18" s="115"/>
      <c r="P18" s="115" t="s">
        <v>145</v>
      </c>
      <c r="Q18" s="115" t="s">
        <v>146</v>
      </c>
      <c r="V18" s="14"/>
      <c r="W18" s="14"/>
      <c r="X18" s="102">
        <f>+INPUT!G12</f>
        <v>4.8899999999999997</v>
      </c>
      <c r="Y18" s="20">
        <f>+INPUT!$G$9</f>
        <v>3.7999999999999999E-2</v>
      </c>
      <c r="Z18" s="14"/>
      <c r="AA18" s="27"/>
      <c r="AB18" s="14"/>
      <c r="AC18" s="14"/>
      <c r="AD18" s="102">
        <f>+INPUT!G30</f>
        <v>7.78</v>
      </c>
      <c r="AE18" s="20">
        <f>+INPUT!$G$27</f>
        <v>4.5600000000000002E-2</v>
      </c>
      <c r="AF18" s="14"/>
      <c r="AG18" s="14"/>
      <c r="AH18" s="14"/>
      <c r="AI18" s="13"/>
      <c r="AJ18" s="13"/>
      <c r="AK18" s="13"/>
    </row>
    <row r="19" spans="1:37" ht="13" x14ac:dyDescent="0.3">
      <c r="A19" s="23"/>
      <c r="C19" s="23"/>
      <c r="D19" s="13"/>
      <c r="E19" s="13"/>
      <c r="F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V19" s="14"/>
      <c r="W19" s="14"/>
      <c r="X19" s="14"/>
      <c r="Y19" s="14" t="s">
        <v>94</v>
      </c>
      <c r="Z19" s="14"/>
      <c r="AA19" s="27"/>
      <c r="AB19" s="14"/>
      <c r="AC19" s="14"/>
      <c r="AD19" s="14"/>
      <c r="AE19" s="14" t="s">
        <v>94</v>
      </c>
      <c r="AF19" s="14"/>
      <c r="AG19" s="14"/>
      <c r="AH19" s="14"/>
      <c r="AI19" s="13"/>
      <c r="AJ19" s="13"/>
      <c r="AK19" s="13"/>
    </row>
    <row r="20" spans="1:37" x14ac:dyDescent="0.25">
      <c r="A20" s="44">
        <v>100</v>
      </c>
      <c r="B20" s="140">
        <v>0.3</v>
      </c>
      <c r="C20" s="44">
        <f>A20*(365.25/12)*B20</f>
        <v>913.125</v>
      </c>
      <c r="D20" s="92">
        <f>+Z20</f>
        <v>1823.7</v>
      </c>
      <c r="E20" s="28">
        <f>+AF20</f>
        <v>2119.64</v>
      </c>
      <c r="F20" s="28">
        <f>AG20</f>
        <v>13.29</v>
      </c>
      <c r="G20" s="28">
        <f>+E20-(F20+D20)</f>
        <v>282.64999999999986</v>
      </c>
      <c r="H20" s="29">
        <f>ROUND(+G20/D20,4)</f>
        <v>0.155</v>
      </c>
      <c r="I20" s="28">
        <f>ROUND($C20*$W$10,2)</f>
        <v>0</v>
      </c>
      <c r="J20" s="28">
        <f>ROUND($C20*$W$11,2)</f>
        <v>0</v>
      </c>
      <c r="K20" s="28">
        <f>ROUND($C20*$W$12,2)</f>
        <v>6.25</v>
      </c>
      <c r="L20" s="28">
        <f>+D20+F20+I20+J20+K20</f>
        <v>1843.24</v>
      </c>
      <c r="M20" s="28">
        <f>+E20+I20+J20+K20</f>
        <v>2125.89</v>
      </c>
      <c r="N20" s="29">
        <f>ROUND((M20-L20)/L20,4)</f>
        <v>0.15329999999999999</v>
      </c>
      <c r="O20" s="28">
        <f>AH20</f>
        <v>-56.52</v>
      </c>
      <c r="P20" s="28">
        <f>M20+O20</f>
        <v>2069.37</v>
      </c>
      <c r="Q20" s="29">
        <f>ROUND((P20-L20)/L20,4)</f>
        <v>0.1227</v>
      </c>
      <c r="V20" s="30">
        <f>+INPUT!$G$14</f>
        <v>550</v>
      </c>
      <c r="W20" s="30">
        <f>INPUT!G5</f>
        <v>750</v>
      </c>
      <c r="X20" s="30">
        <f>$A$20*$X$18</f>
        <v>488.99999999999994</v>
      </c>
      <c r="Y20" s="30">
        <f>ROUND($Y$18*$C20,2)</f>
        <v>34.700000000000003</v>
      </c>
      <c r="Z20" s="30">
        <f>SUM(V20:Y20)</f>
        <v>1823.7</v>
      </c>
      <c r="AB20" s="30">
        <f>+INPUT!$G$32</f>
        <v>550</v>
      </c>
      <c r="AC20" s="30">
        <f>+INPUT!G22</f>
        <v>750</v>
      </c>
      <c r="AD20" s="30">
        <f>$A$20*$AD$18</f>
        <v>778</v>
      </c>
      <c r="AE20" s="30">
        <f>ROUND($AE$18*$C20,2)</f>
        <v>41.64</v>
      </c>
      <c r="AF20" s="30">
        <f>SUM(AB20:AE20)</f>
        <v>2119.64</v>
      </c>
      <c r="AG20" s="30">
        <f>ROUND($AG$16*C20,2)</f>
        <v>13.29</v>
      </c>
      <c r="AH20" s="30">
        <f>ROUND($AH$16*C20,2)</f>
        <v>-56.52</v>
      </c>
    </row>
    <row r="21" spans="1:37" x14ac:dyDescent="0.25">
      <c r="A21" s="44"/>
      <c r="B21" s="140">
        <v>0.5</v>
      </c>
      <c r="C21" s="44">
        <f>A20*(365.25/12)*B21</f>
        <v>1521.875</v>
      </c>
      <c r="D21" s="92">
        <f t="shared" ref="D21:D38" si="0">+Z21</f>
        <v>1846.83</v>
      </c>
      <c r="E21" s="28">
        <f t="shared" ref="E21:E38" si="1">+AF21</f>
        <v>2147.4</v>
      </c>
      <c r="F21" s="28">
        <f t="shared" ref="F21:F38" si="2">AG21</f>
        <v>22.14</v>
      </c>
      <c r="G21" s="28">
        <f t="shared" ref="G21:G38" si="3">+E21-(F21+D21)</f>
        <v>278.43000000000006</v>
      </c>
      <c r="H21" s="29">
        <f t="shared" ref="H21:H38" si="4">ROUND(+G21/D21,4)</f>
        <v>0.15079999999999999</v>
      </c>
      <c r="I21" s="28">
        <f t="shared" ref="I21:I38" si="5">ROUND($C21*$W$10,2)</f>
        <v>0</v>
      </c>
      <c r="J21" s="28">
        <f t="shared" ref="J21:J38" si="6">ROUND($C21*$W$11,2)</f>
        <v>0</v>
      </c>
      <c r="K21" s="28">
        <f t="shared" ref="K21:K38" si="7">ROUND($C21*$W$12,2)</f>
        <v>10.41</v>
      </c>
      <c r="L21" s="28">
        <f t="shared" ref="L21:L38" si="8">+D21+F21+I21+J21+K21</f>
        <v>1879.38</v>
      </c>
      <c r="M21" s="28">
        <f t="shared" ref="M21:M38" si="9">+E21+I21+J21+K21</f>
        <v>2157.81</v>
      </c>
      <c r="N21" s="29">
        <f t="shared" ref="N21:N38" si="10">ROUND((M21-L21)/L21,4)</f>
        <v>0.14810000000000001</v>
      </c>
      <c r="O21" s="28">
        <f t="shared" ref="O21:O38" si="11">AH21</f>
        <v>-94.2</v>
      </c>
      <c r="P21" s="28">
        <f t="shared" ref="P21:P38" si="12">M21+O21</f>
        <v>2063.61</v>
      </c>
      <c r="Q21" s="29">
        <f t="shared" ref="Q21:Q38" si="13">ROUND((P21-L21)/L21,4)</f>
        <v>9.8000000000000004E-2</v>
      </c>
      <c r="V21" s="30">
        <f>$V$20</f>
        <v>550</v>
      </c>
      <c r="W21" s="30">
        <f>$W$20</f>
        <v>750</v>
      </c>
      <c r="X21" s="30">
        <f t="shared" ref="X21:X22" si="14">$A$20*$X$18</f>
        <v>488.99999999999994</v>
      </c>
      <c r="Y21" s="30">
        <f t="shared" ref="Y21:Y38" si="15">ROUND($Y$18*$C21,2)</f>
        <v>57.83</v>
      </c>
      <c r="Z21" s="30">
        <f t="shared" ref="Z21:Z38" si="16">SUM(V21:Y21)</f>
        <v>1846.83</v>
      </c>
      <c r="AB21" s="30">
        <f>$AB$20</f>
        <v>550</v>
      </c>
      <c r="AC21" s="30">
        <f>$AC$20</f>
        <v>750</v>
      </c>
      <c r="AD21" s="30">
        <f t="shared" ref="AD21:AD22" si="17">$A$20*$AD$18</f>
        <v>778</v>
      </c>
      <c r="AE21" s="30">
        <f t="shared" ref="AE21:AE38" si="18">ROUND($AE$18*$C21,2)</f>
        <v>69.400000000000006</v>
      </c>
      <c r="AF21" s="30">
        <f t="shared" ref="AF21:AF38" si="19">SUM(AB21:AE21)</f>
        <v>2147.4</v>
      </c>
      <c r="AG21" s="30">
        <f t="shared" ref="AG21:AG38" si="20">ROUND($AG$16*C21,2)</f>
        <v>22.14</v>
      </c>
      <c r="AH21" s="30">
        <f t="shared" ref="AH21:AH38" si="21">ROUND($AH$16*C21,2)</f>
        <v>-94.2</v>
      </c>
    </row>
    <row r="22" spans="1:37" x14ac:dyDescent="0.25">
      <c r="A22" s="44"/>
      <c r="B22" s="140">
        <v>1</v>
      </c>
      <c r="C22" s="44">
        <f>A20*(365.25/12)*B22</f>
        <v>3043.75</v>
      </c>
      <c r="D22" s="92">
        <f t="shared" si="0"/>
        <v>1904.66</v>
      </c>
      <c r="E22" s="28">
        <f t="shared" si="1"/>
        <v>2216.8000000000002</v>
      </c>
      <c r="F22" s="28">
        <f t="shared" si="2"/>
        <v>44.29</v>
      </c>
      <c r="G22" s="28">
        <f t="shared" si="3"/>
        <v>267.85000000000014</v>
      </c>
      <c r="H22" s="29">
        <f t="shared" si="4"/>
        <v>0.1406</v>
      </c>
      <c r="I22" s="28">
        <f t="shared" si="5"/>
        <v>0</v>
      </c>
      <c r="J22" s="28">
        <f t="shared" si="6"/>
        <v>0</v>
      </c>
      <c r="K22" s="28">
        <f t="shared" si="7"/>
        <v>20.82</v>
      </c>
      <c r="L22" s="28">
        <f t="shared" si="8"/>
        <v>1969.77</v>
      </c>
      <c r="M22" s="28">
        <f t="shared" si="9"/>
        <v>2237.6200000000003</v>
      </c>
      <c r="N22" s="29">
        <f t="shared" si="10"/>
        <v>0.13600000000000001</v>
      </c>
      <c r="O22" s="28">
        <f t="shared" si="11"/>
        <v>-188.41</v>
      </c>
      <c r="P22" s="28">
        <f t="shared" si="12"/>
        <v>2049.2100000000005</v>
      </c>
      <c r="Q22" s="29">
        <f t="shared" si="13"/>
        <v>4.0300000000000002E-2</v>
      </c>
      <c r="V22" s="30">
        <f>$V$20</f>
        <v>550</v>
      </c>
      <c r="W22" s="30">
        <f>$W$20</f>
        <v>750</v>
      </c>
      <c r="X22" s="30">
        <f t="shared" si="14"/>
        <v>488.99999999999994</v>
      </c>
      <c r="Y22" s="30">
        <f t="shared" si="15"/>
        <v>115.66</v>
      </c>
      <c r="Z22" s="30">
        <f t="shared" si="16"/>
        <v>1904.66</v>
      </c>
      <c r="AB22" s="30">
        <f t="shared" ref="AB22:AB38" si="22">$AB$20</f>
        <v>550</v>
      </c>
      <c r="AC22" s="30">
        <f t="shared" ref="AC22:AC38" si="23">$AC$20</f>
        <v>750</v>
      </c>
      <c r="AD22" s="30">
        <f t="shared" si="17"/>
        <v>778</v>
      </c>
      <c r="AE22" s="30">
        <f t="shared" si="18"/>
        <v>138.80000000000001</v>
      </c>
      <c r="AF22" s="30">
        <f t="shared" si="19"/>
        <v>2216.8000000000002</v>
      </c>
      <c r="AG22" s="30">
        <f t="shared" si="20"/>
        <v>44.29</v>
      </c>
      <c r="AH22" s="30">
        <f t="shared" si="21"/>
        <v>-188.41</v>
      </c>
    </row>
    <row r="23" spans="1:37" x14ac:dyDescent="0.25">
      <c r="A23" s="44"/>
      <c r="C23" s="44"/>
      <c r="D23" s="92"/>
      <c r="E23" s="28"/>
      <c r="F23" s="28"/>
      <c r="G23" s="28"/>
      <c r="H23" s="29"/>
      <c r="I23" s="28"/>
      <c r="J23" s="28"/>
      <c r="K23" s="28"/>
      <c r="L23" s="28"/>
      <c r="M23" s="28"/>
      <c r="N23" s="29"/>
      <c r="O23" s="28"/>
      <c r="P23" s="28"/>
      <c r="Q23" s="29"/>
      <c r="W23" s="30"/>
      <c r="X23" s="30"/>
      <c r="Y23" s="30"/>
      <c r="Z23" s="30"/>
      <c r="AB23" s="30"/>
      <c r="AC23" s="30"/>
      <c r="AD23" s="30"/>
      <c r="AE23" s="30"/>
      <c r="AF23" s="30"/>
      <c r="AG23" s="30"/>
      <c r="AH23" s="30"/>
    </row>
    <row r="24" spans="1:37" x14ac:dyDescent="0.25">
      <c r="A24" s="44">
        <v>500</v>
      </c>
      <c r="B24" s="140">
        <v>0.3</v>
      </c>
      <c r="C24" s="44">
        <f>A24*(365.25/12)*B24</f>
        <v>4565.625</v>
      </c>
      <c r="D24" s="92">
        <f t="shared" si="0"/>
        <v>3918.49</v>
      </c>
      <c r="E24" s="28">
        <f t="shared" si="1"/>
        <v>5398.19</v>
      </c>
      <c r="F24" s="28">
        <f t="shared" si="2"/>
        <v>66.430000000000007</v>
      </c>
      <c r="G24" s="28">
        <f t="shared" si="3"/>
        <v>1413.27</v>
      </c>
      <c r="H24" s="29">
        <f t="shared" si="4"/>
        <v>0.36070000000000002</v>
      </c>
      <c r="I24" s="28">
        <f t="shared" si="5"/>
        <v>0</v>
      </c>
      <c r="J24" s="28">
        <f t="shared" si="6"/>
        <v>0</v>
      </c>
      <c r="K24" s="28">
        <f t="shared" si="7"/>
        <v>31.23</v>
      </c>
      <c r="L24" s="28">
        <f t="shared" si="8"/>
        <v>4016.1499999999996</v>
      </c>
      <c r="M24" s="28">
        <f t="shared" si="9"/>
        <v>5429.4199999999992</v>
      </c>
      <c r="N24" s="29">
        <f t="shared" si="10"/>
        <v>0.35189999999999999</v>
      </c>
      <c r="O24" s="28">
        <f t="shared" si="11"/>
        <v>-282.61</v>
      </c>
      <c r="P24" s="28">
        <f t="shared" si="12"/>
        <v>5146.8099999999995</v>
      </c>
      <c r="Q24" s="29">
        <f t="shared" si="13"/>
        <v>0.28149999999999997</v>
      </c>
      <c r="V24" s="30">
        <f>$V$20</f>
        <v>550</v>
      </c>
      <c r="W24" s="30">
        <f>$W$20</f>
        <v>750</v>
      </c>
      <c r="X24" s="30">
        <f>$A$24*$X$18</f>
        <v>2445</v>
      </c>
      <c r="Y24" s="30">
        <f t="shared" si="15"/>
        <v>173.49</v>
      </c>
      <c r="Z24" s="30">
        <f t="shared" si="16"/>
        <v>3918.49</v>
      </c>
      <c r="AB24" s="30">
        <f t="shared" si="22"/>
        <v>550</v>
      </c>
      <c r="AC24" s="30">
        <f t="shared" si="23"/>
        <v>750</v>
      </c>
      <c r="AD24" s="30">
        <f>$A$24*$AD$18</f>
        <v>3890</v>
      </c>
      <c r="AE24" s="30">
        <f t="shared" si="18"/>
        <v>208.19</v>
      </c>
      <c r="AF24" s="30">
        <f t="shared" si="19"/>
        <v>5398.19</v>
      </c>
      <c r="AG24" s="30">
        <f t="shared" si="20"/>
        <v>66.430000000000007</v>
      </c>
      <c r="AH24" s="30">
        <f t="shared" si="21"/>
        <v>-282.61</v>
      </c>
    </row>
    <row r="25" spans="1:37" x14ac:dyDescent="0.25">
      <c r="A25" s="44"/>
      <c r="B25" s="140">
        <v>0.5</v>
      </c>
      <c r="C25" s="44">
        <f>A24*(365.25/12)*B25</f>
        <v>7609.375</v>
      </c>
      <c r="D25" s="92">
        <f t="shared" si="0"/>
        <v>4034.16</v>
      </c>
      <c r="E25" s="28">
        <f t="shared" si="1"/>
        <v>5536.99</v>
      </c>
      <c r="F25" s="28">
        <f t="shared" si="2"/>
        <v>110.71</v>
      </c>
      <c r="G25" s="28">
        <f t="shared" si="3"/>
        <v>1392.12</v>
      </c>
      <c r="H25" s="29">
        <f t="shared" si="4"/>
        <v>0.34510000000000002</v>
      </c>
      <c r="I25" s="28">
        <f t="shared" si="5"/>
        <v>0</v>
      </c>
      <c r="J25" s="28">
        <f t="shared" si="6"/>
        <v>0</v>
      </c>
      <c r="K25" s="28">
        <f t="shared" si="7"/>
        <v>52.05</v>
      </c>
      <c r="L25" s="28">
        <f t="shared" si="8"/>
        <v>4196.92</v>
      </c>
      <c r="M25" s="28">
        <f t="shared" si="9"/>
        <v>5589.04</v>
      </c>
      <c r="N25" s="29">
        <f t="shared" si="10"/>
        <v>0.33169999999999999</v>
      </c>
      <c r="O25" s="28">
        <f t="shared" si="11"/>
        <v>-471.02</v>
      </c>
      <c r="P25" s="28">
        <f t="shared" si="12"/>
        <v>5118.0200000000004</v>
      </c>
      <c r="Q25" s="29">
        <f t="shared" si="13"/>
        <v>0.2195</v>
      </c>
      <c r="V25" s="30">
        <f>$V$20</f>
        <v>550</v>
      </c>
      <c r="W25" s="30">
        <f>$W$20</f>
        <v>750</v>
      </c>
      <c r="X25" s="30">
        <f t="shared" ref="X25:X26" si="24">$A$24*$X$18</f>
        <v>2445</v>
      </c>
      <c r="Y25" s="30">
        <f t="shared" si="15"/>
        <v>289.16000000000003</v>
      </c>
      <c r="Z25" s="30">
        <f t="shared" si="16"/>
        <v>4034.16</v>
      </c>
      <c r="AB25" s="30">
        <f t="shared" si="22"/>
        <v>550</v>
      </c>
      <c r="AC25" s="30">
        <f t="shared" si="23"/>
        <v>750</v>
      </c>
      <c r="AD25" s="30">
        <f t="shared" ref="AD25:AD26" si="25">$A$24*$AD$18</f>
        <v>3890</v>
      </c>
      <c r="AE25" s="30">
        <f t="shared" si="18"/>
        <v>346.99</v>
      </c>
      <c r="AF25" s="30">
        <f t="shared" si="19"/>
        <v>5536.99</v>
      </c>
      <c r="AG25" s="30">
        <f t="shared" si="20"/>
        <v>110.71</v>
      </c>
      <c r="AH25" s="30">
        <f t="shared" si="21"/>
        <v>-471.02</v>
      </c>
    </row>
    <row r="26" spans="1:37" x14ac:dyDescent="0.25">
      <c r="A26" s="44"/>
      <c r="B26" s="140">
        <v>1</v>
      </c>
      <c r="C26" s="44">
        <f>A24*(365.25/12)*B26</f>
        <v>15218.75</v>
      </c>
      <c r="D26" s="92">
        <f t="shared" si="0"/>
        <v>4323.3099999999995</v>
      </c>
      <c r="E26" s="28">
        <f t="shared" si="1"/>
        <v>5883.98</v>
      </c>
      <c r="F26" s="28">
        <f t="shared" si="2"/>
        <v>221.43</v>
      </c>
      <c r="G26" s="28">
        <f t="shared" si="3"/>
        <v>1339.2399999999998</v>
      </c>
      <c r="H26" s="29">
        <f t="shared" si="4"/>
        <v>0.30980000000000002</v>
      </c>
      <c r="I26" s="28">
        <f t="shared" si="5"/>
        <v>0</v>
      </c>
      <c r="J26" s="28">
        <f t="shared" si="6"/>
        <v>0</v>
      </c>
      <c r="K26" s="28">
        <f t="shared" si="7"/>
        <v>104.1</v>
      </c>
      <c r="L26" s="28">
        <f t="shared" si="8"/>
        <v>4648.84</v>
      </c>
      <c r="M26" s="28">
        <f t="shared" si="9"/>
        <v>5988.08</v>
      </c>
      <c r="N26" s="29">
        <f t="shared" si="10"/>
        <v>0.28810000000000002</v>
      </c>
      <c r="O26" s="28">
        <f t="shared" si="11"/>
        <v>-942.04</v>
      </c>
      <c r="P26" s="28">
        <f t="shared" si="12"/>
        <v>5046.04</v>
      </c>
      <c r="Q26" s="29">
        <f t="shared" si="13"/>
        <v>8.5400000000000004E-2</v>
      </c>
      <c r="V26" s="30">
        <f>$V$20</f>
        <v>550</v>
      </c>
      <c r="W26" s="30">
        <f>$W$20</f>
        <v>750</v>
      </c>
      <c r="X26" s="30">
        <f t="shared" si="24"/>
        <v>2445</v>
      </c>
      <c r="Y26" s="30">
        <f t="shared" si="15"/>
        <v>578.30999999999995</v>
      </c>
      <c r="Z26" s="30">
        <f t="shared" si="16"/>
        <v>4323.3099999999995</v>
      </c>
      <c r="AB26" s="30">
        <f t="shared" si="22"/>
        <v>550</v>
      </c>
      <c r="AC26" s="30">
        <f t="shared" si="23"/>
        <v>750</v>
      </c>
      <c r="AD26" s="30">
        <f t="shared" si="25"/>
        <v>3890</v>
      </c>
      <c r="AE26" s="30">
        <f t="shared" si="18"/>
        <v>693.98</v>
      </c>
      <c r="AF26" s="30">
        <f t="shared" si="19"/>
        <v>5883.98</v>
      </c>
      <c r="AG26" s="30">
        <f t="shared" si="20"/>
        <v>221.43</v>
      </c>
      <c r="AH26" s="30">
        <f t="shared" si="21"/>
        <v>-942.04</v>
      </c>
    </row>
    <row r="27" spans="1:37" x14ac:dyDescent="0.25">
      <c r="A27" s="44"/>
      <c r="C27" s="44"/>
      <c r="D27" s="92"/>
      <c r="E27" s="28"/>
      <c r="F27" s="28"/>
      <c r="G27" s="28"/>
      <c r="H27" s="29"/>
      <c r="I27" s="28"/>
      <c r="J27" s="28"/>
      <c r="K27" s="28"/>
      <c r="L27" s="28"/>
      <c r="M27" s="28"/>
      <c r="N27" s="29"/>
      <c r="O27" s="28"/>
      <c r="P27" s="28"/>
      <c r="Q27" s="29"/>
      <c r="W27" s="30"/>
      <c r="X27" s="30"/>
      <c r="Y27" s="30"/>
      <c r="Z27" s="30"/>
      <c r="AB27" s="30"/>
      <c r="AC27" s="30"/>
      <c r="AD27" s="30"/>
      <c r="AE27" s="30"/>
      <c r="AF27" s="30"/>
      <c r="AG27" s="30"/>
      <c r="AH27" s="30"/>
    </row>
    <row r="28" spans="1:37" x14ac:dyDescent="0.25">
      <c r="A28" s="44">
        <v>1000</v>
      </c>
      <c r="B28" s="140">
        <v>0.3</v>
      </c>
      <c r="C28" s="44">
        <f>A28*(365.25/12)*B28</f>
        <v>9131.25</v>
      </c>
      <c r="D28" s="92">
        <f t="shared" si="0"/>
        <v>6536.99</v>
      </c>
      <c r="E28" s="28">
        <f t="shared" si="1"/>
        <v>9496.39</v>
      </c>
      <c r="F28" s="28">
        <f t="shared" si="2"/>
        <v>132.86000000000001</v>
      </c>
      <c r="G28" s="28">
        <f t="shared" si="3"/>
        <v>2826.54</v>
      </c>
      <c r="H28" s="29">
        <f t="shared" si="4"/>
        <v>0.43240000000000001</v>
      </c>
      <c r="I28" s="28">
        <f t="shared" si="5"/>
        <v>0</v>
      </c>
      <c r="J28" s="28">
        <f t="shared" si="6"/>
        <v>0</v>
      </c>
      <c r="K28" s="28">
        <f t="shared" si="7"/>
        <v>62.46</v>
      </c>
      <c r="L28" s="28">
        <f t="shared" si="8"/>
        <v>6732.3099999999995</v>
      </c>
      <c r="M28" s="28">
        <f t="shared" si="9"/>
        <v>9558.8499999999985</v>
      </c>
      <c r="N28" s="29">
        <f t="shared" si="10"/>
        <v>0.41980000000000001</v>
      </c>
      <c r="O28" s="28">
        <f t="shared" si="11"/>
        <v>-565.22</v>
      </c>
      <c r="P28" s="28">
        <f t="shared" si="12"/>
        <v>8993.6299999999992</v>
      </c>
      <c r="Q28" s="29">
        <f t="shared" si="13"/>
        <v>0.33589999999999998</v>
      </c>
      <c r="V28" s="30">
        <f>$V$20</f>
        <v>550</v>
      </c>
      <c r="W28" s="30">
        <f>$W$20</f>
        <v>750</v>
      </c>
      <c r="X28" s="30">
        <f>$A$28*$X$18</f>
        <v>4890</v>
      </c>
      <c r="Y28" s="30">
        <f t="shared" si="15"/>
        <v>346.99</v>
      </c>
      <c r="Z28" s="30">
        <f t="shared" si="16"/>
        <v>6536.99</v>
      </c>
      <c r="AB28" s="30">
        <f t="shared" si="22"/>
        <v>550</v>
      </c>
      <c r="AC28" s="30">
        <f t="shared" si="23"/>
        <v>750</v>
      </c>
      <c r="AD28" s="30">
        <f>$A$28*$AD$18</f>
        <v>7780</v>
      </c>
      <c r="AE28" s="30">
        <f t="shared" si="18"/>
        <v>416.39</v>
      </c>
      <c r="AF28" s="30">
        <f t="shared" si="19"/>
        <v>9496.39</v>
      </c>
      <c r="AG28" s="30">
        <f t="shared" si="20"/>
        <v>132.86000000000001</v>
      </c>
      <c r="AH28" s="30">
        <f t="shared" si="21"/>
        <v>-565.22</v>
      </c>
    </row>
    <row r="29" spans="1:37" x14ac:dyDescent="0.25">
      <c r="A29" s="44"/>
      <c r="B29" s="140">
        <v>0.5</v>
      </c>
      <c r="C29" s="44">
        <f>A28*(365.25/12)*B29</f>
        <v>15218.75</v>
      </c>
      <c r="D29" s="92">
        <f t="shared" si="0"/>
        <v>6768.3099999999995</v>
      </c>
      <c r="E29" s="28">
        <f t="shared" si="1"/>
        <v>9773.98</v>
      </c>
      <c r="F29" s="28">
        <f t="shared" si="2"/>
        <v>221.43</v>
      </c>
      <c r="G29" s="28">
        <f t="shared" si="3"/>
        <v>2784.24</v>
      </c>
      <c r="H29" s="29">
        <f t="shared" si="4"/>
        <v>0.41139999999999999</v>
      </c>
      <c r="I29" s="28">
        <f t="shared" si="5"/>
        <v>0</v>
      </c>
      <c r="J29" s="28">
        <f t="shared" si="6"/>
        <v>0</v>
      </c>
      <c r="K29" s="28">
        <f t="shared" si="7"/>
        <v>104.1</v>
      </c>
      <c r="L29" s="28">
        <f t="shared" si="8"/>
        <v>7093.84</v>
      </c>
      <c r="M29" s="28">
        <f t="shared" si="9"/>
        <v>9878.08</v>
      </c>
      <c r="N29" s="29">
        <f t="shared" si="10"/>
        <v>0.39250000000000002</v>
      </c>
      <c r="O29" s="28">
        <f t="shared" si="11"/>
        <v>-942.04</v>
      </c>
      <c r="P29" s="28">
        <f t="shared" si="12"/>
        <v>8936.0400000000009</v>
      </c>
      <c r="Q29" s="29">
        <f t="shared" si="13"/>
        <v>0.25969999999999999</v>
      </c>
      <c r="V29" s="30">
        <f>$V$20</f>
        <v>550</v>
      </c>
      <c r="W29" s="30">
        <f>$W$20</f>
        <v>750</v>
      </c>
      <c r="X29" s="30">
        <f t="shared" ref="X29:X30" si="26">$A$28*$X$18</f>
        <v>4890</v>
      </c>
      <c r="Y29" s="30">
        <f t="shared" si="15"/>
        <v>578.30999999999995</v>
      </c>
      <c r="Z29" s="30">
        <f t="shared" si="16"/>
        <v>6768.3099999999995</v>
      </c>
      <c r="AB29" s="30">
        <f t="shared" si="22"/>
        <v>550</v>
      </c>
      <c r="AC29" s="30">
        <f t="shared" si="23"/>
        <v>750</v>
      </c>
      <c r="AD29" s="30">
        <f t="shared" ref="AD29:AD30" si="27">$A$28*$AD$18</f>
        <v>7780</v>
      </c>
      <c r="AE29" s="30">
        <f t="shared" si="18"/>
        <v>693.98</v>
      </c>
      <c r="AF29" s="30">
        <f t="shared" si="19"/>
        <v>9773.98</v>
      </c>
      <c r="AG29" s="30">
        <f t="shared" si="20"/>
        <v>221.43</v>
      </c>
      <c r="AH29" s="30">
        <f t="shared" si="21"/>
        <v>-942.04</v>
      </c>
    </row>
    <row r="30" spans="1:37" x14ac:dyDescent="0.25">
      <c r="A30" s="44"/>
      <c r="B30" s="140">
        <v>1</v>
      </c>
      <c r="C30" s="44">
        <f>A28*(365.25/12)*B30</f>
        <v>30437.5</v>
      </c>
      <c r="D30" s="92">
        <f t="shared" si="0"/>
        <v>7346.63</v>
      </c>
      <c r="E30" s="28">
        <f t="shared" si="1"/>
        <v>10467.950000000001</v>
      </c>
      <c r="F30" s="28">
        <f t="shared" si="2"/>
        <v>442.86</v>
      </c>
      <c r="G30" s="28">
        <f t="shared" si="3"/>
        <v>2678.4600000000009</v>
      </c>
      <c r="H30" s="29">
        <f t="shared" si="4"/>
        <v>0.36459999999999998</v>
      </c>
      <c r="I30" s="28">
        <f t="shared" si="5"/>
        <v>0</v>
      </c>
      <c r="J30" s="28">
        <f t="shared" si="6"/>
        <v>0</v>
      </c>
      <c r="K30" s="28">
        <f t="shared" si="7"/>
        <v>208.2</v>
      </c>
      <c r="L30" s="28">
        <f t="shared" si="8"/>
        <v>7997.69</v>
      </c>
      <c r="M30" s="28">
        <f t="shared" si="9"/>
        <v>10676.150000000001</v>
      </c>
      <c r="N30" s="29">
        <f t="shared" si="10"/>
        <v>0.33489999999999998</v>
      </c>
      <c r="O30" s="28">
        <f t="shared" si="11"/>
        <v>-1884.08</v>
      </c>
      <c r="P30" s="28">
        <f t="shared" si="12"/>
        <v>8792.0700000000015</v>
      </c>
      <c r="Q30" s="29">
        <f t="shared" si="13"/>
        <v>9.9299999999999999E-2</v>
      </c>
      <c r="V30" s="30">
        <f>$V$20</f>
        <v>550</v>
      </c>
      <c r="W30" s="30">
        <f>$W$20</f>
        <v>750</v>
      </c>
      <c r="X30" s="30">
        <f t="shared" si="26"/>
        <v>4890</v>
      </c>
      <c r="Y30" s="30">
        <f t="shared" si="15"/>
        <v>1156.6300000000001</v>
      </c>
      <c r="Z30" s="30">
        <f t="shared" si="16"/>
        <v>7346.63</v>
      </c>
      <c r="AB30" s="30">
        <f t="shared" si="22"/>
        <v>550</v>
      </c>
      <c r="AC30" s="30">
        <f t="shared" si="23"/>
        <v>750</v>
      </c>
      <c r="AD30" s="30">
        <f t="shared" si="27"/>
        <v>7780</v>
      </c>
      <c r="AE30" s="30">
        <f t="shared" si="18"/>
        <v>1387.95</v>
      </c>
      <c r="AF30" s="30">
        <f t="shared" si="19"/>
        <v>10467.950000000001</v>
      </c>
      <c r="AG30" s="30">
        <f t="shared" si="20"/>
        <v>442.86</v>
      </c>
      <c r="AH30" s="30">
        <f t="shared" si="21"/>
        <v>-1884.08</v>
      </c>
    </row>
    <row r="31" spans="1:37" x14ac:dyDescent="0.25">
      <c r="A31" s="44"/>
      <c r="C31" s="44"/>
      <c r="D31" s="92"/>
      <c r="E31" s="28"/>
      <c r="F31" s="28"/>
      <c r="G31" s="28"/>
      <c r="H31" s="29"/>
      <c r="I31" s="28"/>
      <c r="J31" s="28"/>
      <c r="K31" s="28"/>
      <c r="L31" s="28"/>
      <c r="M31" s="28"/>
      <c r="N31" s="29"/>
      <c r="O31" s="28"/>
      <c r="P31" s="28"/>
      <c r="Q31" s="29"/>
      <c r="W31" s="30"/>
      <c r="X31" s="30"/>
      <c r="Y31" s="30"/>
      <c r="Z31" s="30"/>
      <c r="AB31" s="30"/>
      <c r="AC31" s="30"/>
      <c r="AD31" s="30"/>
      <c r="AE31" s="30"/>
      <c r="AF31" s="30"/>
      <c r="AG31" s="30"/>
      <c r="AH31" s="30"/>
    </row>
    <row r="32" spans="1:37" x14ac:dyDescent="0.25">
      <c r="A32" s="44">
        <v>2500</v>
      </c>
      <c r="B32" s="140">
        <v>0.3</v>
      </c>
      <c r="C32" s="44">
        <f>A32*(365.25/12)*B32</f>
        <v>22828.125</v>
      </c>
      <c r="D32" s="92">
        <f t="shared" si="0"/>
        <v>14392.47</v>
      </c>
      <c r="E32" s="28">
        <f t="shared" si="1"/>
        <v>21790.959999999999</v>
      </c>
      <c r="F32" s="28">
        <f t="shared" si="2"/>
        <v>332.14</v>
      </c>
      <c r="G32" s="28">
        <f t="shared" si="3"/>
        <v>7066.35</v>
      </c>
      <c r="H32" s="29">
        <f t="shared" si="4"/>
        <v>0.49099999999999999</v>
      </c>
      <c r="I32" s="28">
        <f t="shared" si="5"/>
        <v>0</v>
      </c>
      <c r="J32" s="28">
        <f t="shared" si="6"/>
        <v>0</v>
      </c>
      <c r="K32" s="28">
        <f t="shared" si="7"/>
        <v>156.15</v>
      </c>
      <c r="L32" s="28">
        <f t="shared" si="8"/>
        <v>14880.759999999998</v>
      </c>
      <c r="M32" s="28">
        <f t="shared" si="9"/>
        <v>21947.11</v>
      </c>
      <c r="N32" s="29">
        <f t="shared" si="10"/>
        <v>0.47489999999999999</v>
      </c>
      <c r="O32" s="28">
        <f t="shared" si="11"/>
        <v>-1413.06</v>
      </c>
      <c r="P32" s="28">
        <f t="shared" si="12"/>
        <v>20534.05</v>
      </c>
      <c r="Q32" s="29">
        <f t="shared" si="13"/>
        <v>0.37990000000000002</v>
      </c>
      <c r="V32" s="30">
        <f>$V$20</f>
        <v>550</v>
      </c>
      <c r="W32" s="30">
        <f>$W$20</f>
        <v>750</v>
      </c>
      <c r="X32" s="30">
        <f>$A$32*$X$18</f>
        <v>12225</v>
      </c>
      <c r="Y32" s="30">
        <f t="shared" si="15"/>
        <v>867.47</v>
      </c>
      <c r="Z32" s="30">
        <f t="shared" si="16"/>
        <v>14392.47</v>
      </c>
      <c r="AB32" s="30">
        <f t="shared" si="22"/>
        <v>550</v>
      </c>
      <c r="AC32" s="30">
        <f t="shared" si="23"/>
        <v>750</v>
      </c>
      <c r="AD32" s="30">
        <f>$A$32*$AD$18</f>
        <v>19450</v>
      </c>
      <c r="AE32" s="30">
        <f t="shared" si="18"/>
        <v>1040.96</v>
      </c>
      <c r="AF32" s="30">
        <f t="shared" si="19"/>
        <v>21790.959999999999</v>
      </c>
      <c r="AG32" s="30">
        <f t="shared" si="20"/>
        <v>332.14</v>
      </c>
      <c r="AH32" s="30">
        <f t="shared" si="21"/>
        <v>-1413.06</v>
      </c>
    </row>
    <row r="33" spans="1:34" x14ac:dyDescent="0.25">
      <c r="A33" s="44"/>
      <c r="B33" s="140">
        <v>0.5</v>
      </c>
      <c r="C33" s="44">
        <f>A32*(365.25/12)*B33</f>
        <v>38046.875</v>
      </c>
      <c r="D33" s="92">
        <f t="shared" si="0"/>
        <v>14970.78</v>
      </c>
      <c r="E33" s="28">
        <f t="shared" si="1"/>
        <v>22484.94</v>
      </c>
      <c r="F33" s="28">
        <f t="shared" si="2"/>
        <v>553.57000000000005</v>
      </c>
      <c r="G33" s="28">
        <f t="shared" si="3"/>
        <v>6960.5899999999983</v>
      </c>
      <c r="H33" s="29">
        <f t="shared" si="4"/>
        <v>0.46489999999999998</v>
      </c>
      <c r="I33" s="28">
        <f t="shared" si="5"/>
        <v>0</v>
      </c>
      <c r="J33" s="28">
        <f t="shared" si="6"/>
        <v>0</v>
      </c>
      <c r="K33" s="28">
        <f t="shared" si="7"/>
        <v>260.25</v>
      </c>
      <c r="L33" s="28">
        <f t="shared" si="8"/>
        <v>15784.6</v>
      </c>
      <c r="M33" s="28">
        <f t="shared" si="9"/>
        <v>22745.19</v>
      </c>
      <c r="N33" s="29">
        <f t="shared" si="10"/>
        <v>0.441</v>
      </c>
      <c r="O33" s="28">
        <f t="shared" si="11"/>
        <v>-2355.1</v>
      </c>
      <c r="P33" s="28">
        <f t="shared" si="12"/>
        <v>20390.09</v>
      </c>
      <c r="Q33" s="29">
        <f t="shared" si="13"/>
        <v>0.2918</v>
      </c>
      <c r="V33" s="30">
        <f>$V$20</f>
        <v>550</v>
      </c>
      <c r="W33" s="30">
        <f>$W$20</f>
        <v>750</v>
      </c>
      <c r="X33" s="30">
        <f t="shared" ref="X33:X34" si="28">$A$32*$X$18</f>
        <v>12225</v>
      </c>
      <c r="Y33" s="30">
        <f t="shared" si="15"/>
        <v>1445.78</v>
      </c>
      <c r="Z33" s="30">
        <f t="shared" si="16"/>
        <v>14970.78</v>
      </c>
      <c r="AB33" s="30">
        <f t="shared" si="22"/>
        <v>550</v>
      </c>
      <c r="AC33" s="30">
        <f t="shared" si="23"/>
        <v>750</v>
      </c>
      <c r="AD33" s="30">
        <f t="shared" ref="AD33:AD34" si="29">$A$32*$AD$18</f>
        <v>19450</v>
      </c>
      <c r="AE33" s="30">
        <f t="shared" si="18"/>
        <v>1734.94</v>
      </c>
      <c r="AF33" s="30">
        <f t="shared" si="19"/>
        <v>22484.94</v>
      </c>
      <c r="AG33" s="30">
        <f t="shared" si="20"/>
        <v>553.57000000000005</v>
      </c>
      <c r="AH33" s="30">
        <f t="shared" si="21"/>
        <v>-2355.1</v>
      </c>
    </row>
    <row r="34" spans="1:34" x14ac:dyDescent="0.25">
      <c r="A34" s="44"/>
      <c r="B34" s="140">
        <v>1</v>
      </c>
      <c r="C34" s="44">
        <f>A32*(365.25/12)*B34</f>
        <v>76093.75</v>
      </c>
      <c r="D34" s="92">
        <f t="shared" si="0"/>
        <v>16416.560000000001</v>
      </c>
      <c r="E34" s="28">
        <f t="shared" si="1"/>
        <v>24219.88</v>
      </c>
      <c r="F34" s="28">
        <f t="shared" si="2"/>
        <v>1107.1400000000001</v>
      </c>
      <c r="G34" s="28">
        <f t="shared" si="3"/>
        <v>6696.18</v>
      </c>
      <c r="H34" s="29">
        <f t="shared" si="4"/>
        <v>0.40789999999999998</v>
      </c>
      <c r="I34" s="28">
        <f t="shared" si="5"/>
        <v>0</v>
      </c>
      <c r="J34" s="28">
        <f t="shared" si="6"/>
        <v>0</v>
      </c>
      <c r="K34" s="28">
        <f t="shared" si="7"/>
        <v>520.51</v>
      </c>
      <c r="L34" s="28">
        <f t="shared" si="8"/>
        <v>18044.21</v>
      </c>
      <c r="M34" s="28">
        <f t="shared" si="9"/>
        <v>24740.39</v>
      </c>
      <c r="N34" s="29">
        <f t="shared" si="10"/>
        <v>0.37109999999999999</v>
      </c>
      <c r="O34" s="28">
        <f t="shared" si="11"/>
        <v>-4710.2</v>
      </c>
      <c r="P34" s="28">
        <f t="shared" si="12"/>
        <v>20030.189999999999</v>
      </c>
      <c r="Q34" s="29">
        <f t="shared" si="13"/>
        <v>0.1101</v>
      </c>
      <c r="V34" s="30">
        <f>$V$20</f>
        <v>550</v>
      </c>
      <c r="W34" s="30">
        <f>$W$20</f>
        <v>750</v>
      </c>
      <c r="X34" s="30">
        <f t="shared" si="28"/>
        <v>12225</v>
      </c>
      <c r="Y34" s="30">
        <f t="shared" si="15"/>
        <v>2891.56</v>
      </c>
      <c r="Z34" s="30">
        <f t="shared" si="16"/>
        <v>16416.560000000001</v>
      </c>
      <c r="AB34" s="30">
        <f t="shared" si="22"/>
        <v>550</v>
      </c>
      <c r="AC34" s="30">
        <f t="shared" si="23"/>
        <v>750</v>
      </c>
      <c r="AD34" s="30">
        <f t="shared" si="29"/>
        <v>19450</v>
      </c>
      <c r="AE34" s="30">
        <f t="shared" si="18"/>
        <v>3469.88</v>
      </c>
      <c r="AF34" s="30">
        <f t="shared" si="19"/>
        <v>24219.88</v>
      </c>
      <c r="AG34" s="30">
        <f t="shared" si="20"/>
        <v>1107.1400000000001</v>
      </c>
      <c r="AH34" s="30">
        <f t="shared" si="21"/>
        <v>-4710.2</v>
      </c>
    </row>
    <row r="35" spans="1:34" x14ac:dyDescent="0.25">
      <c r="A35" s="44"/>
      <c r="C35" s="44"/>
      <c r="D35" s="92"/>
      <c r="E35" s="28"/>
      <c r="F35" s="28"/>
      <c r="G35" s="28"/>
      <c r="H35" s="29"/>
      <c r="I35" s="28"/>
      <c r="J35" s="28"/>
      <c r="K35" s="28"/>
      <c r="L35" s="28"/>
      <c r="M35" s="28"/>
      <c r="N35" s="29"/>
      <c r="O35" s="28"/>
      <c r="P35" s="28"/>
      <c r="Q35" s="29"/>
      <c r="X35" s="30"/>
      <c r="Y35" s="30"/>
      <c r="Z35" s="30"/>
      <c r="AB35" s="30"/>
      <c r="AC35" s="30"/>
      <c r="AD35" s="30"/>
      <c r="AE35" s="30"/>
      <c r="AF35" s="30"/>
      <c r="AG35" s="30"/>
      <c r="AH35" s="30"/>
    </row>
    <row r="36" spans="1:34" x14ac:dyDescent="0.25">
      <c r="A36" s="44">
        <v>5000</v>
      </c>
      <c r="B36" s="140">
        <v>0.3</v>
      </c>
      <c r="C36" s="44">
        <f>A36*(365.25/12)*B36</f>
        <v>45656.25</v>
      </c>
      <c r="D36" s="92">
        <f t="shared" si="0"/>
        <v>27484.94</v>
      </c>
      <c r="E36" s="28">
        <f t="shared" si="1"/>
        <v>42281.93</v>
      </c>
      <c r="F36" s="28">
        <f t="shared" si="2"/>
        <v>664.28</v>
      </c>
      <c r="G36" s="28">
        <f t="shared" si="3"/>
        <v>14132.710000000003</v>
      </c>
      <c r="H36" s="29">
        <f t="shared" si="4"/>
        <v>0.51419999999999999</v>
      </c>
      <c r="I36" s="28">
        <f t="shared" si="5"/>
        <v>0</v>
      </c>
      <c r="J36" s="28">
        <f t="shared" si="6"/>
        <v>0</v>
      </c>
      <c r="K36" s="28">
        <f t="shared" si="7"/>
        <v>312.3</v>
      </c>
      <c r="L36" s="28">
        <f t="shared" si="8"/>
        <v>28461.519999999997</v>
      </c>
      <c r="M36" s="28">
        <f t="shared" si="9"/>
        <v>42594.23</v>
      </c>
      <c r="N36" s="29">
        <f t="shared" si="10"/>
        <v>0.49659999999999999</v>
      </c>
      <c r="O36" s="28">
        <f t="shared" si="11"/>
        <v>-2826.12</v>
      </c>
      <c r="P36" s="28">
        <f t="shared" si="12"/>
        <v>39768.11</v>
      </c>
      <c r="Q36" s="29">
        <f t="shared" si="13"/>
        <v>0.39729999999999999</v>
      </c>
      <c r="V36" s="30">
        <f>$V$20</f>
        <v>550</v>
      </c>
      <c r="W36" s="30">
        <f>$W$20</f>
        <v>750</v>
      </c>
      <c r="X36" s="30">
        <f>$A$36*$X$18</f>
        <v>24450</v>
      </c>
      <c r="Y36" s="30">
        <f t="shared" si="15"/>
        <v>1734.94</v>
      </c>
      <c r="Z36" s="30">
        <f t="shared" si="16"/>
        <v>27484.94</v>
      </c>
      <c r="AB36" s="30">
        <f t="shared" si="22"/>
        <v>550</v>
      </c>
      <c r="AC36" s="30">
        <f t="shared" si="23"/>
        <v>750</v>
      </c>
      <c r="AD36" s="30">
        <f>$A$36*$AD$18</f>
        <v>38900</v>
      </c>
      <c r="AE36" s="30">
        <f t="shared" si="18"/>
        <v>2081.9299999999998</v>
      </c>
      <c r="AF36" s="30">
        <f t="shared" si="19"/>
        <v>42281.93</v>
      </c>
      <c r="AG36" s="30">
        <f t="shared" si="20"/>
        <v>664.28</v>
      </c>
      <c r="AH36" s="30">
        <f t="shared" si="21"/>
        <v>-2826.12</v>
      </c>
    </row>
    <row r="37" spans="1:34" x14ac:dyDescent="0.25">
      <c r="B37" s="140">
        <v>0.5</v>
      </c>
      <c r="C37" s="44">
        <f>A36*(365.25/12)*B37</f>
        <v>76093.75</v>
      </c>
      <c r="D37" s="92">
        <f t="shared" si="0"/>
        <v>28641.56</v>
      </c>
      <c r="E37" s="28">
        <f t="shared" si="1"/>
        <v>43669.88</v>
      </c>
      <c r="F37" s="28">
        <f t="shared" si="2"/>
        <v>1107.1400000000001</v>
      </c>
      <c r="G37" s="28">
        <f t="shared" si="3"/>
        <v>13921.179999999997</v>
      </c>
      <c r="H37" s="29">
        <f t="shared" si="4"/>
        <v>0.48599999999999999</v>
      </c>
      <c r="I37" s="28">
        <f t="shared" si="5"/>
        <v>0</v>
      </c>
      <c r="J37" s="28">
        <f t="shared" si="6"/>
        <v>0</v>
      </c>
      <c r="K37" s="28">
        <f t="shared" si="7"/>
        <v>520.51</v>
      </c>
      <c r="L37" s="28">
        <f t="shared" si="8"/>
        <v>30269.21</v>
      </c>
      <c r="M37" s="28">
        <f t="shared" si="9"/>
        <v>44190.39</v>
      </c>
      <c r="N37" s="29">
        <f t="shared" si="10"/>
        <v>0.45989999999999998</v>
      </c>
      <c r="O37" s="28">
        <f t="shared" si="11"/>
        <v>-4710.2</v>
      </c>
      <c r="P37" s="28">
        <f t="shared" si="12"/>
        <v>39480.19</v>
      </c>
      <c r="Q37" s="29">
        <f t="shared" si="13"/>
        <v>0.30430000000000001</v>
      </c>
      <c r="V37" s="30">
        <f>$V$20</f>
        <v>550</v>
      </c>
      <c r="W37" s="30">
        <f>$W$20</f>
        <v>750</v>
      </c>
      <c r="X37" s="30">
        <f t="shared" ref="X37:X38" si="30">$A$36*$X$18</f>
        <v>24450</v>
      </c>
      <c r="Y37" s="30">
        <f t="shared" si="15"/>
        <v>2891.56</v>
      </c>
      <c r="Z37" s="30">
        <f t="shared" si="16"/>
        <v>28641.56</v>
      </c>
      <c r="AB37" s="30">
        <f t="shared" si="22"/>
        <v>550</v>
      </c>
      <c r="AC37" s="30">
        <f t="shared" si="23"/>
        <v>750</v>
      </c>
      <c r="AD37" s="30">
        <f t="shared" ref="AD37:AD38" si="31">$A$36*$AD$18</f>
        <v>38900</v>
      </c>
      <c r="AE37" s="30">
        <f t="shared" si="18"/>
        <v>3469.88</v>
      </c>
      <c r="AF37" s="30">
        <f t="shared" si="19"/>
        <v>43669.88</v>
      </c>
      <c r="AG37" s="30">
        <f t="shared" si="20"/>
        <v>1107.1400000000001</v>
      </c>
      <c r="AH37" s="30">
        <f t="shared" si="21"/>
        <v>-4710.2</v>
      </c>
    </row>
    <row r="38" spans="1:34" x14ac:dyDescent="0.25">
      <c r="B38" s="140">
        <v>1</v>
      </c>
      <c r="C38" s="44">
        <f>A36*(365.25/12)*B38</f>
        <v>152187.5</v>
      </c>
      <c r="D38" s="92">
        <f t="shared" si="0"/>
        <v>31533.13</v>
      </c>
      <c r="E38" s="28">
        <f t="shared" si="1"/>
        <v>47139.75</v>
      </c>
      <c r="F38" s="28">
        <f t="shared" si="2"/>
        <v>2214.2800000000002</v>
      </c>
      <c r="G38" s="28">
        <f t="shared" si="3"/>
        <v>13392.339999999997</v>
      </c>
      <c r="H38" s="29">
        <f t="shared" si="4"/>
        <v>0.42470000000000002</v>
      </c>
      <c r="I38" s="28">
        <f t="shared" si="5"/>
        <v>0</v>
      </c>
      <c r="J38" s="28">
        <f t="shared" si="6"/>
        <v>0</v>
      </c>
      <c r="K38" s="28">
        <f t="shared" si="7"/>
        <v>1041.02</v>
      </c>
      <c r="L38" s="28">
        <f t="shared" si="8"/>
        <v>34788.43</v>
      </c>
      <c r="M38" s="28">
        <f t="shared" si="9"/>
        <v>48180.77</v>
      </c>
      <c r="N38" s="29">
        <f t="shared" si="10"/>
        <v>0.38500000000000001</v>
      </c>
      <c r="O38" s="28">
        <f t="shared" si="11"/>
        <v>-9420.41</v>
      </c>
      <c r="P38" s="28">
        <f t="shared" si="12"/>
        <v>38760.36</v>
      </c>
      <c r="Q38" s="29">
        <f t="shared" si="13"/>
        <v>0.1142</v>
      </c>
      <c r="V38" s="30">
        <f>$V$20</f>
        <v>550</v>
      </c>
      <c r="W38" s="30">
        <f>$W$20</f>
        <v>750</v>
      </c>
      <c r="X38" s="30">
        <f t="shared" si="30"/>
        <v>24450</v>
      </c>
      <c r="Y38" s="30">
        <f t="shared" si="15"/>
        <v>5783.13</v>
      </c>
      <c r="Z38" s="30">
        <f t="shared" si="16"/>
        <v>31533.13</v>
      </c>
      <c r="AB38" s="30">
        <f t="shared" si="22"/>
        <v>550</v>
      </c>
      <c r="AC38" s="30">
        <f t="shared" si="23"/>
        <v>750</v>
      </c>
      <c r="AD38" s="30">
        <f t="shared" si="31"/>
        <v>38900</v>
      </c>
      <c r="AE38" s="30">
        <f t="shared" si="18"/>
        <v>6939.75</v>
      </c>
      <c r="AF38" s="30">
        <f t="shared" si="19"/>
        <v>47139.75</v>
      </c>
      <c r="AG38" s="30">
        <f t="shared" si="20"/>
        <v>2214.2800000000002</v>
      </c>
      <c r="AH38" s="30">
        <f t="shared" si="21"/>
        <v>-9420.41</v>
      </c>
    </row>
    <row r="39" spans="1:34" x14ac:dyDescent="0.25">
      <c r="B39" s="140"/>
      <c r="C39" s="44"/>
      <c r="D39" s="92"/>
      <c r="L39" s="27"/>
      <c r="M39" s="27"/>
      <c r="N39" s="27"/>
      <c r="O39" s="27"/>
      <c r="P39" s="27"/>
      <c r="Q39" s="27"/>
    </row>
    <row r="40" spans="1:34" x14ac:dyDescent="0.25">
      <c r="A40" s="26" t="s">
        <v>85</v>
      </c>
      <c r="D40" s="43"/>
      <c r="E40" s="44"/>
      <c r="F40" s="44"/>
      <c r="L40" s="28"/>
      <c r="M40" s="28"/>
      <c r="N40" s="29"/>
      <c r="O40" s="29"/>
      <c r="P40" s="29"/>
      <c r="Q40" s="29"/>
      <c r="Z40" s="30"/>
      <c r="AA40" s="30"/>
      <c r="AB40" s="30"/>
      <c r="AC40" s="30"/>
      <c r="AD40" s="30"/>
    </row>
    <row r="41" spans="1:34" x14ac:dyDescent="0.25">
      <c r="A41" s="46" t="str">
        <f>("Forecast Period Average Usage = "&amp;TEXT(INPUT!G17,"0,000")&amp;" Mcf per month")</f>
        <v>Forecast Period Average Usage = 12,327 Mcf per month</v>
      </c>
      <c r="B41" s="46"/>
      <c r="AB41" s="30"/>
    </row>
    <row r="42" spans="1:34" x14ac:dyDescent="0.25">
      <c r="A42" s="46" t="str">
        <f>("Forecast Period Average Demand = "&amp;TEXT(INPUT!E58,"000")&amp;" Mcf per month")</f>
        <v>Forecast Period Average Demand = 972 Mcf per month</v>
      </c>
      <c r="B42" s="46"/>
      <c r="AB42" s="30"/>
    </row>
    <row r="43" spans="1:34" x14ac:dyDescent="0.25">
      <c r="A43" s="47" t="s">
        <v>122</v>
      </c>
      <c r="B43" s="47"/>
    </row>
    <row r="44" spans="1:34" x14ac:dyDescent="0.25">
      <c r="A44" s="60" t="str">
        <f>+'Rate Case Constants'!$C$26</f>
        <v>Calculations may vary from other schedules due to rounding</v>
      </c>
      <c r="B44" s="60"/>
    </row>
    <row r="46" spans="1:34" ht="13" x14ac:dyDescent="0.3">
      <c r="D46" s="28"/>
      <c r="E46" s="28"/>
      <c r="F46" s="28"/>
      <c r="G46" s="28"/>
      <c r="H46" s="29"/>
      <c r="I46" s="28"/>
      <c r="J46" s="28"/>
      <c r="K46" s="28"/>
      <c r="L46" s="28"/>
      <c r="M46" s="28"/>
      <c r="N46" s="29"/>
      <c r="O46" s="29"/>
      <c r="P46" s="29"/>
      <c r="Q46" s="29"/>
      <c r="U46" s="13"/>
      <c r="V46" s="30"/>
      <c r="W46" s="30"/>
      <c r="X46" s="30"/>
      <c r="Z46" s="30"/>
      <c r="AA46" s="30"/>
      <c r="AB46" s="30"/>
      <c r="AC46" s="30"/>
      <c r="AD46" s="30"/>
    </row>
  </sheetData>
  <mergeCells count="5">
    <mergeCell ref="I15:K15"/>
    <mergeCell ref="A1:Q1"/>
    <mergeCell ref="A2:Q2"/>
    <mergeCell ref="A3:Q3"/>
    <mergeCell ref="A4:Q4"/>
  </mergeCells>
  <printOptions horizontalCentered="1"/>
  <pageMargins left="0.75" right="0.75" top="1.5" bottom="0.5" header="1" footer="0.5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46"/>
  <sheetViews>
    <sheetView zoomScale="70" zoomScaleNormal="70" zoomScaleSheetLayoutView="80" workbookViewId="0">
      <selection sqref="A1:Q1"/>
    </sheetView>
  </sheetViews>
  <sheetFormatPr defaultColWidth="9.1796875" defaultRowHeight="12.5" x14ac:dyDescent="0.25"/>
  <cols>
    <col min="1" max="1" width="9.26953125" style="26" bestFit="1" customWidth="1"/>
    <col min="2" max="2" width="9.26953125" style="26" customWidth="1"/>
    <col min="3" max="3" width="9.08984375" style="26" bestFit="1" customWidth="1"/>
    <col min="4" max="5" width="12.7265625" style="26" bestFit="1" customWidth="1"/>
    <col min="6" max="8" width="12" style="26" customWidth="1"/>
    <col min="9" max="9" width="14.26953125" style="26" bestFit="1" customWidth="1"/>
    <col min="10" max="11" width="12" style="26" customWidth="1"/>
    <col min="12" max="13" width="14.26953125" style="26" bestFit="1" customWidth="1"/>
    <col min="14" max="15" width="12" style="26" customWidth="1"/>
    <col min="16" max="16" width="14.26953125" style="26" bestFit="1" customWidth="1"/>
    <col min="17" max="17" width="12" style="26" customWidth="1"/>
    <col min="18" max="21" width="4.26953125" style="26" customWidth="1"/>
    <col min="22" max="22" width="12.26953125" style="26" customWidth="1"/>
    <col min="23" max="23" width="11.7265625" style="26" bestFit="1" customWidth="1"/>
    <col min="24" max="24" width="14" style="26" customWidth="1"/>
    <col min="25" max="25" width="11.81640625" style="26" customWidth="1"/>
    <col min="26" max="26" width="9.1796875" style="26"/>
    <col min="27" max="27" width="12" style="26" customWidth="1"/>
    <col min="28" max="28" width="11.7265625" style="26" bestFit="1" customWidth="1"/>
    <col min="29" max="29" width="12.26953125" style="26" customWidth="1"/>
    <col min="30" max="30" width="12" style="26" bestFit="1" customWidth="1"/>
    <col min="31" max="31" width="15.54296875" style="26" bestFit="1" customWidth="1"/>
    <col min="32" max="32" width="15.1796875" style="26" bestFit="1" customWidth="1"/>
    <col min="33" max="16384" width="9.1796875" style="26"/>
  </cols>
  <sheetData>
    <row r="1" spans="1:35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35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35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35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35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35" ht="13" x14ac:dyDescent="0.3">
      <c r="A6" s="73"/>
      <c r="B6" s="73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35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O7" s="74"/>
      <c r="P7" s="74"/>
      <c r="Q7" s="74" t="str">
        <f>+'Rate Case Constants'!C25</f>
        <v>SCHEDULE N (Gas)</v>
      </c>
    </row>
    <row r="8" spans="1:35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75"/>
      <c r="P8" s="75"/>
      <c r="Q8" s="75" t="str">
        <f>+'Rate Case Constants'!I15</f>
        <v>PAGE 8 OF 13</v>
      </c>
    </row>
    <row r="9" spans="1:35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74"/>
      <c r="P9" s="74"/>
      <c r="Q9" s="74" t="str">
        <f>+'Rate Case Constants'!C36</f>
        <v>WITNESS:   R. M. CONROY</v>
      </c>
    </row>
    <row r="10" spans="1:35" ht="13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85"/>
      <c r="O10" s="85"/>
      <c r="P10" s="85"/>
      <c r="Q10" s="85"/>
      <c r="R10" s="69"/>
      <c r="S10" s="69"/>
      <c r="T10" s="69"/>
      <c r="U10" s="69"/>
      <c r="V10" s="108" t="s">
        <v>26</v>
      </c>
      <c r="W10" s="54">
        <f>+INPUT!$I$48</f>
        <v>3.2786798702258011</v>
      </c>
      <c r="X10" s="1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pans="1:35" ht="13" x14ac:dyDescent="0.3">
      <c r="A11" s="80" t="s">
        <v>121</v>
      </c>
      <c r="B11" s="80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69"/>
      <c r="S11" s="69"/>
      <c r="T11" s="69"/>
      <c r="U11" s="69"/>
      <c r="V11" s="108" t="s">
        <v>23</v>
      </c>
      <c r="W11" s="54">
        <f>+INPUT!$J$48</f>
        <v>0</v>
      </c>
      <c r="X11" s="54"/>
      <c r="Y11" s="12"/>
      <c r="Z11" s="12"/>
      <c r="AA11" s="18"/>
      <c r="AB11" s="12"/>
      <c r="AC11" s="12"/>
      <c r="AD11" s="12"/>
      <c r="AE11" s="27"/>
      <c r="AF11" s="27"/>
      <c r="AG11" s="27"/>
      <c r="AH11" s="27"/>
      <c r="AI11" s="27"/>
    </row>
    <row r="12" spans="1:35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V12" s="21" t="s">
        <v>27</v>
      </c>
      <c r="W12" s="17">
        <f>+INPUT!$K$48</f>
        <v>0</v>
      </c>
      <c r="X12" s="17"/>
      <c r="Y12" s="12"/>
      <c r="Z12" s="12"/>
      <c r="AA12" s="12"/>
      <c r="AB12" s="12"/>
      <c r="AC12" s="12"/>
      <c r="AD12" s="12"/>
      <c r="AE12" s="27"/>
      <c r="AF12" s="27"/>
      <c r="AG12" s="27"/>
      <c r="AH12" s="27"/>
      <c r="AI12" s="27"/>
    </row>
    <row r="13" spans="1:35" ht="13" x14ac:dyDescent="0.3">
      <c r="A13" s="12"/>
      <c r="B13" s="12"/>
      <c r="C13" s="12"/>
      <c r="D13" s="13" t="s">
        <v>68</v>
      </c>
      <c r="E13" s="14" t="s">
        <v>76</v>
      </c>
      <c r="F13" s="14" t="s">
        <v>69</v>
      </c>
      <c r="G13" s="14" t="s">
        <v>70</v>
      </c>
      <c r="H13" s="13" t="s">
        <v>71</v>
      </c>
      <c r="I13" s="13" t="s">
        <v>72</v>
      </c>
      <c r="J13" s="13" t="s">
        <v>77</v>
      </c>
      <c r="K13" s="14" t="s">
        <v>73</v>
      </c>
      <c r="L13" s="13" t="s">
        <v>74</v>
      </c>
      <c r="M13" s="13" t="s">
        <v>75</v>
      </c>
      <c r="N13" s="13" t="s">
        <v>139</v>
      </c>
      <c r="O13" s="13" t="s">
        <v>140</v>
      </c>
      <c r="P13" s="13" t="s">
        <v>141</v>
      </c>
      <c r="Q13" s="13" t="s">
        <v>142</v>
      </c>
      <c r="V13" s="12"/>
      <c r="W13" s="12"/>
      <c r="X13" s="12"/>
      <c r="Y13" s="12"/>
      <c r="Z13" s="12"/>
      <c r="AG13" s="27"/>
      <c r="AH13" s="27"/>
      <c r="AI13" s="27"/>
    </row>
    <row r="14" spans="1:35" ht="13" x14ac:dyDescent="0.3">
      <c r="A14" s="27"/>
      <c r="B14" s="27"/>
      <c r="C14" s="27"/>
      <c r="D14" s="62" t="s">
        <v>92</v>
      </c>
      <c r="E14" s="62" t="s">
        <v>92</v>
      </c>
      <c r="F14" s="62" t="s">
        <v>27</v>
      </c>
      <c r="G14" s="27"/>
      <c r="H14" s="27"/>
      <c r="I14" s="27"/>
      <c r="J14" s="27"/>
      <c r="K14" s="27"/>
      <c r="L14" s="13" t="s">
        <v>18</v>
      </c>
      <c r="M14" s="13" t="s">
        <v>18</v>
      </c>
      <c r="N14" s="27"/>
      <c r="O14" s="13" t="s">
        <v>175</v>
      </c>
      <c r="P14" s="13" t="s">
        <v>18</v>
      </c>
      <c r="Q14" s="13"/>
      <c r="V14" s="19" t="s">
        <v>0</v>
      </c>
      <c r="W14" s="19"/>
      <c r="X14" s="19"/>
      <c r="Y14" s="19"/>
      <c r="Z14" s="27"/>
      <c r="AA14" s="19" t="s">
        <v>17</v>
      </c>
      <c r="AB14" s="19"/>
      <c r="AC14" s="19"/>
      <c r="AD14" s="19"/>
      <c r="AE14" s="19"/>
      <c r="AF14" s="19"/>
      <c r="AG14" s="27"/>
      <c r="AH14" s="27"/>
      <c r="AI14" s="27"/>
    </row>
    <row r="15" spans="1:35" ht="12.75" customHeight="1" x14ac:dyDescent="0.3">
      <c r="A15" s="27"/>
      <c r="B15" s="23" t="s">
        <v>177</v>
      </c>
      <c r="C15" s="27"/>
      <c r="D15" s="13" t="s">
        <v>13</v>
      </c>
      <c r="E15" s="13" t="s">
        <v>19</v>
      </c>
      <c r="F15" s="13" t="s">
        <v>152</v>
      </c>
      <c r="G15" s="13"/>
      <c r="H15" s="13"/>
      <c r="I15" s="148" t="s">
        <v>20</v>
      </c>
      <c r="J15" s="148"/>
      <c r="K15" s="149"/>
      <c r="L15" s="13" t="s">
        <v>13</v>
      </c>
      <c r="M15" s="13" t="s">
        <v>19</v>
      </c>
      <c r="N15" s="13"/>
      <c r="O15" s="13" t="s">
        <v>176</v>
      </c>
      <c r="P15" s="13" t="s">
        <v>19</v>
      </c>
      <c r="Q15" s="13"/>
      <c r="V15" s="154" t="s">
        <v>107</v>
      </c>
      <c r="W15" s="13"/>
      <c r="X15" s="13"/>
      <c r="Y15" s="14"/>
      <c r="Z15" s="27"/>
      <c r="AA15" s="152" t="s">
        <v>107</v>
      </c>
      <c r="AB15" s="13"/>
      <c r="AC15" s="13"/>
      <c r="AD15" s="14"/>
      <c r="AE15" s="14" t="s">
        <v>154</v>
      </c>
      <c r="AF15" s="14" t="s">
        <v>143</v>
      </c>
      <c r="AG15" s="27"/>
      <c r="AH15" s="27"/>
      <c r="AI15" s="27"/>
    </row>
    <row r="16" spans="1:35" ht="13" x14ac:dyDescent="0.3">
      <c r="A16" s="23"/>
      <c r="B16" s="23" t="s">
        <v>159</v>
      </c>
      <c r="C16" s="23"/>
      <c r="D16" s="13" t="s">
        <v>21</v>
      </c>
      <c r="E16" s="13" t="s">
        <v>21</v>
      </c>
      <c r="F16" s="13" t="s">
        <v>153</v>
      </c>
      <c r="G16" s="13" t="s">
        <v>22</v>
      </c>
      <c r="H16" s="13" t="s">
        <v>22</v>
      </c>
      <c r="I16" s="13" t="s">
        <v>26</v>
      </c>
      <c r="J16" s="13" t="s">
        <v>23</v>
      </c>
      <c r="K16" s="13" t="s">
        <v>27</v>
      </c>
      <c r="L16" s="13" t="s">
        <v>21</v>
      </c>
      <c r="M16" s="13" t="s">
        <v>21</v>
      </c>
      <c r="N16" s="13" t="s">
        <v>22</v>
      </c>
      <c r="O16" s="13" t="s">
        <v>143</v>
      </c>
      <c r="P16" s="13" t="s">
        <v>144</v>
      </c>
      <c r="Q16" s="13" t="s">
        <v>22</v>
      </c>
      <c r="V16" s="155"/>
      <c r="W16" s="13" t="s">
        <v>93</v>
      </c>
      <c r="X16" s="13" t="s">
        <v>87</v>
      </c>
      <c r="Y16" s="14" t="s">
        <v>18</v>
      </c>
      <c r="Z16" s="27"/>
      <c r="AA16" s="152"/>
      <c r="AB16" s="13" t="s">
        <v>93</v>
      </c>
      <c r="AC16" s="13" t="s">
        <v>87</v>
      </c>
      <c r="AD16" s="14" t="s">
        <v>18</v>
      </c>
      <c r="AE16" s="14">
        <f>INPUT!L48</f>
        <v>0</v>
      </c>
      <c r="AF16" s="14">
        <f>INPUT!H34</f>
        <v>-6.1899999999999997E-2</v>
      </c>
      <c r="AG16" s="13"/>
      <c r="AH16" s="13"/>
      <c r="AI16" s="13"/>
    </row>
    <row r="17" spans="1:35" ht="13" x14ac:dyDescent="0.3">
      <c r="A17" s="23" t="s">
        <v>124</v>
      </c>
      <c r="B17" s="23" t="s">
        <v>160</v>
      </c>
      <c r="C17" s="23" t="s">
        <v>123</v>
      </c>
      <c r="D17" s="76"/>
      <c r="E17" s="76"/>
      <c r="F17" s="76"/>
      <c r="G17" s="76" t="s">
        <v>24</v>
      </c>
      <c r="H17" s="77" t="s">
        <v>25</v>
      </c>
      <c r="I17" s="78"/>
      <c r="J17" s="78"/>
      <c r="K17" s="79"/>
      <c r="L17" s="76" t="s">
        <v>24</v>
      </c>
      <c r="M17" s="76" t="s">
        <v>24</v>
      </c>
      <c r="N17" s="77" t="s">
        <v>25</v>
      </c>
      <c r="O17" s="77"/>
      <c r="P17" s="77" t="s">
        <v>143</v>
      </c>
      <c r="Q17" s="77" t="s">
        <v>25</v>
      </c>
      <c r="V17" s="153"/>
      <c r="W17" s="98" t="s">
        <v>31</v>
      </c>
      <c r="X17" s="106" t="s">
        <v>31</v>
      </c>
      <c r="Y17" s="97" t="s">
        <v>21</v>
      </c>
      <c r="Z17" s="27"/>
      <c r="AA17" s="153"/>
      <c r="AB17" s="98" t="s">
        <v>31</v>
      </c>
      <c r="AC17" s="106" t="s">
        <v>31</v>
      </c>
      <c r="AD17" s="97" t="s">
        <v>21</v>
      </c>
      <c r="AE17" s="114" t="s">
        <v>147</v>
      </c>
      <c r="AF17" s="114" t="s">
        <v>147</v>
      </c>
      <c r="AG17" s="13"/>
      <c r="AH17" s="13"/>
      <c r="AI17" s="13"/>
    </row>
    <row r="18" spans="1:35" ht="13" x14ac:dyDescent="0.3">
      <c r="A18" s="139"/>
      <c r="B18" s="139"/>
      <c r="C18" s="139"/>
      <c r="D18" s="98"/>
      <c r="E18" s="98"/>
      <c r="F18" s="115"/>
      <c r="G18" s="116" t="str">
        <f>("[ "&amp;E13&amp;" - ("&amp;F13&amp;" + "&amp;D13&amp;") ]")</f>
        <v>[ B - (C + A) ]</v>
      </c>
      <c r="H18" s="116" t="str">
        <f>("[ "&amp;G13&amp;" / "&amp;D13&amp;" ]")</f>
        <v>[ D / A ]</v>
      </c>
      <c r="I18" s="117"/>
      <c r="J18" s="117"/>
      <c r="K18" s="117"/>
      <c r="L18" s="116" t="str">
        <f>("["&amp;D13&amp;"+"&amp;F13&amp;"+"&amp;$I$13&amp;"+"&amp;$J$13&amp;"+"&amp;$K$13&amp;"]")</f>
        <v>[A+C+F+G+H]</v>
      </c>
      <c r="M18" s="116" t="str">
        <f>("["&amp;E13&amp;"+"&amp;I13&amp;"+"&amp;J13&amp;"+"&amp;K13&amp;"]")</f>
        <v>[B+F+G+H]</v>
      </c>
      <c r="N18" s="115" t="str">
        <f>("[("&amp;M13&amp;" - "&amp;L13&amp;") / "&amp;L13&amp;"]")</f>
        <v>[(J - I) / I]</v>
      </c>
      <c r="O18" s="115"/>
      <c r="P18" s="115" t="s">
        <v>145</v>
      </c>
      <c r="Q18" s="115" t="s">
        <v>146</v>
      </c>
      <c r="V18" s="102">
        <f>INPUT!$H$5</f>
        <v>750</v>
      </c>
      <c r="W18" s="20">
        <f>+INPUT!$H$9</f>
        <v>0.29920000000000002</v>
      </c>
      <c r="X18" s="20">
        <f>INPUT!H12</f>
        <v>10.8978</v>
      </c>
      <c r="Y18" s="14"/>
      <c r="Z18" s="27"/>
      <c r="AA18" s="102">
        <f>INPUT!$H$22</f>
        <v>750</v>
      </c>
      <c r="AB18" s="20">
        <f>+INPUT!$H$27</f>
        <v>0.31</v>
      </c>
      <c r="AC18" s="20">
        <f>INPUT!H30</f>
        <v>10.89</v>
      </c>
      <c r="AD18" s="14"/>
      <c r="AE18" s="14"/>
      <c r="AF18" s="14"/>
      <c r="AG18" s="13"/>
      <c r="AH18" s="13"/>
      <c r="AI18" s="13"/>
    </row>
    <row r="19" spans="1:35" ht="13" x14ac:dyDescent="0.3">
      <c r="A19" s="23"/>
      <c r="C19" s="23"/>
      <c r="D19" s="13"/>
      <c r="E19" s="13"/>
      <c r="F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V19" s="14"/>
      <c r="W19" s="14" t="s">
        <v>94</v>
      </c>
      <c r="X19" s="14"/>
      <c r="Y19" s="14"/>
      <c r="Z19" s="27"/>
      <c r="AA19" s="14"/>
      <c r="AB19" s="14" t="s">
        <v>94</v>
      </c>
      <c r="AC19" s="14"/>
      <c r="AD19" s="14"/>
      <c r="AE19" s="14"/>
      <c r="AF19" s="14"/>
      <c r="AG19" s="13"/>
      <c r="AH19" s="13"/>
      <c r="AI19" s="13"/>
    </row>
    <row r="20" spans="1:35" x14ac:dyDescent="0.25">
      <c r="A20" s="44">
        <v>1000</v>
      </c>
      <c r="B20" s="140">
        <v>0.3</v>
      </c>
      <c r="C20" s="44">
        <f>A20*(365.25/12)*B20</f>
        <v>9131.25</v>
      </c>
      <c r="D20" s="28">
        <f>+Y20</f>
        <v>14379.869999999999</v>
      </c>
      <c r="E20" s="28">
        <f>+AD20</f>
        <v>14470.69</v>
      </c>
      <c r="F20" s="28">
        <f>AE20</f>
        <v>0</v>
      </c>
      <c r="G20" s="28">
        <f>+E20-(F20+D20)</f>
        <v>90.820000000001528</v>
      </c>
      <c r="H20" s="29">
        <f>ROUND(+G20/D20,4)</f>
        <v>6.3E-3</v>
      </c>
      <c r="I20" s="28">
        <f>ROUND($C20*$W$10,2)</f>
        <v>29938.45</v>
      </c>
      <c r="J20" s="28">
        <f>ROUND($C20*$W$11,2)</f>
        <v>0</v>
      </c>
      <c r="K20" s="28">
        <f>ROUND($C20*$W$12,2)</f>
        <v>0</v>
      </c>
      <c r="L20" s="28">
        <f>+D20+F20+I20+J20+K20</f>
        <v>44318.32</v>
      </c>
      <c r="M20" s="28">
        <f>+E20+I20+J20+K20</f>
        <v>44409.14</v>
      </c>
      <c r="N20" s="29">
        <f>ROUND((M20-L20)/L20,4)</f>
        <v>2E-3</v>
      </c>
      <c r="O20" s="28">
        <f>AF20</f>
        <v>-565.22</v>
      </c>
      <c r="P20" s="28">
        <f>M20+O20</f>
        <v>43843.92</v>
      </c>
      <c r="Q20" s="29">
        <f>ROUND((P20-L20)/L20,4)</f>
        <v>-1.0699999999999999E-2</v>
      </c>
      <c r="V20" s="30">
        <f>$V$18</f>
        <v>750</v>
      </c>
      <c r="W20" s="30">
        <f>ROUND($W$18*$C20,2)</f>
        <v>2732.07</v>
      </c>
      <c r="X20" s="30">
        <f>$A$20*$X$18</f>
        <v>10897.8</v>
      </c>
      <c r="Y20" s="30">
        <f>SUM(V20:X20)</f>
        <v>14379.869999999999</v>
      </c>
      <c r="AA20" s="30">
        <f>$AA$18</f>
        <v>750</v>
      </c>
      <c r="AB20" s="30">
        <f>ROUND($AB$18*$C20,2)</f>
        <v>2830.69</v>
      </c>
      <c r="AC20" s="30">
        <f>$A$20*$AC$18</f>
        <v>10890</v>
      </c>
      <c r="AD20" s="30">
        <f>SUM(AA20:AC20)</f>
        <v>14470.69</v>
      </c>
      <c r="AE20" s="30">
        <f>ROUND($AE$16*C20,2)</f>
        <v>0</v>
      </c>
      <c r="AF20" s="30">
        <f>ROUND($AF$16*C20,2)</f>
        <v>-565.22</v>
      </c>
    </row>
    <row r="21" spans="1:35" x14ac:dyDescent="0.25">
      <c r="A21" s="44"/>
      <c r="B21" s="140">
        <v>0.5</v>
      </c>
      <c r="C21" s="44">
        <f>A20*(365.25/12)*B21</f>
        <v>15218.75</v>
      </c>
      <c r="D21" s="28">
        <f t="shared" ref="D21:D38" si="0">+Y21</f>
        <v>16201.25</v>
      </c>
      <c r="E21" s="28">
        <f t="shared" ref="E21:E38" si="1">+AD21</f>
        <v>16357.810000000001</v>
      </c>
      <c r="F21" s="28">
        <f t="shared" ref="F21:F38" si="2">AE21</f>
        <v>0</v>
      </c>
      <c r="G21" s="28">
        <f t="shared" ref="G21:G38" si="3">+E21-(F21+D21)</f>
        <v>156.56000000000131</v>
      </c>
      <c r="H21" s="29">
        <f t="shared" ref="H21:H38" si="4">ROUND(+G21/D21,4)</f>
        <v>9.7000000000000003E-3</v>
      </c>
      <c r="I21" s="28">
        <f t="shared" ref="I21:I38" si="5">ROUND($C21*$W$10,2)</f>
        <v>49897.41</v>
      </c>
      <c r="J21" s="28">
        <f t="shared" ref="J21:J38" si="6">ROUND($C21*$W$11,2)</f>
        <v>0</v>
      </c>
      <c r="K21" s="28">
        <f t="shared" ref="K21:K38" si="7">ROUND($C21*$W$12,2)</f>
        <v>0</v>
      </c>
      <c r="L21" s="28">
        <f t="shared" ref="L21:L38" si="8">+D21+F21+I21+J21+K21</f>
        <v>66098.66</v>
      </c>
      <c r="M21" s="28">
        <f t="shared" ref="M21:M38" si="9">+E21+I21+J21+K21</f>
        <v>66255.22</v>
      </c>
      <c r="N21" s="29">
        <f t="shared" ref="N21:N38" si="10">ROUND((M21-L21)/L21,4)</f>
        <v>2.3999999999999998E-3</v>
      </c>
      <c r="O21" s="28">
        <f t="shared" ref="O21:O38" si="11">AF21</f>
        <v>-942.04</v>
      </c>
      <c r="P21" s="28">
        <f t="shared" ref="P21:P38" si="12">M21+O21</f>
        <v>65313.18</v>
      </c>
      <c r="Q21" s="29">
        <f t="shared" ref="Q21:Q38" si="13">ROUND((P21-L21)/L21,4)</f>
        <v>-1.1900000000000001E-2</v>
      </c>
      <c r="V21" s="30">
        <f t="shared" ref="V21:V38" si="14">$V$18</f>
        <v>750</v>
      </c>
      <c r="W21" s="30">
        <f t="shared" ref="W21:W38" si="15">ROUND($W$18*$C21,2)</f>
        <v>4553.45</v>
      </c>
      <c r="X21" s="30">
        <f t="shared" ref="X21:X22" si="16">$A$20*$X$18</f>
        <v>10897.8</v>
      </c>
      <c r="Y21" s="30">
        <f t="shared" ref="Y21:Y38" si="17">SUM(V21:X21)</f>
        <v>16201.25</v>
      </c>
      <c r="AA21" s="30">
        <f t="shared" ref="AA21:AA38" si="18">$AA$18</f>
        <v>750</v>
      </c>
      <c r="AB21" s="30">
        <f t="shared" ref="AB21:AB38" si="19">ROUND($AB$18*$C21,2)</f>
        <v>4717.8100000000004</v>
      </c>
      <c r="AC21" s="30">
        <f t="shared" ref="AC21:AC22" si="20">$A$20*$AC$18</f>
        <v>10890</v>
      </c>
      <c r="AD21" s="30">
        <f t="shared" ref="AD21:AD38" si="21">SUM(AA21:AC21)</f>
        <v>16357.810000000001</v>
      </c>
      <c r="AE21" s="30">
        <f t="shared" ref="AE21:AE38" si="22">ROUND($AE$16*C21,2)</f>
        <v>0</v>
      </c>
      <c r="AF21" s="30">
        <f t="shared" ref="AF21:AF38" si="23">ROUND($AF$16*C21,2)</f>
        <v>-942.04</v>
      </c>
    </row>
    <row r="22" spans="1:35" x14ac:dyDescent="0.25">
      <c r="A22" s="44"/>
      <c r="B22" s="140">
        <v>1</v>
      </c>
      <c r="C22" s="44">
        <f>A20*(365.25/12)*B22</f>
        <v>30437.5</v>
      </c>
      <c r="D22" s="28">
        <f t="shared" si="0"/>
        <v>20754.699999999997</v>
      </c>
      <c r="E22" s="28">
        <f t="shared" si="1"/>
        <v>21075.629999999997</v>
      </c>
      <c r="F22" s="28">
        <f t="shared" si="2"/>
        <v>0</v>
      </c>
      <c r="G22" s="28">
        <f t="shared" si="3"/>
        <v>320.93000000000029</v>
      </c>
      <c r="H22" s="29">
        <f t="shared" si="4"/>
        <v>1.55E-2</v>
      </c>
      <c r="I22" s="28">
        <f t="shared" si="5"/>
        <v>99794.82</v>
      </c>
      <c r="J22" s="28">
        <f t="shared" si="6"/>
        <v>0</v>
      </c>
      <c r="K22" s="28">
        <f t="shared" si="7"/>
        <v>0</v>
      </c>
      <c r="L22" s="28">
        <f t="shared" si="8"/>
        <v>120549.52</v>
      </c>
      <c r="M22" s="28">
        <f t="shared" si="9"/>
        <v>120870.45000000001</v>
      </c>
      <c r="N22" s="29">
        <f t="shared" si="10"/>
        <v>2.7000000000000001E-3</v>
      </c>
      <c r="O22" s="28">
        <f t="shared" si="11"/>
        <v>-1884.08</v>
      </c>
      <c r="P22" s="28">
        <f t="shared" si="12"/>
        <v>118986.37000000001</v>
      </c>
      <c r="Q22" s="29">
        <f t="shared" si="13"/>
        <v>-1.2999999999999999E-2</v>
      </c>
      <c r="V22" s="30">
        <f t="shared" si="14"/>
        <v>750</v>
      </c>
      <c r="W22" s="30">
        <f t="shared" si="15"/>
        <v>9106.9</v>
      </c>
      <c r="X22" s="30">
        <f t="shared" si="16"/>
        <v>10897.8</v>
      </c>
      <c r="Y22" s="30">
        <f t="shared" si="17"/>
        <v>20754.699999999997</v>
      </c>
      <c r="AA22" s="30">
        <f t="shared" si="18"/>
        <v>750</v>
      </c>
      <c r="AB22" s="30">
        <f t="shared" si="19"/>
        <v>9435.6299999999992</v>
      </c>
      <c r="AC22" s="30">
        <f t="shared" si="20"/>
        <v>10890</v>
      </c>
      <c r="AD22" s="30">
        <f t="shared" si="21"/>
        <v>21075.629999999997</v>
      </c>
      <c r="AE22" s="30">
        <f t="shared" si="22"/>
        <v>0</v>
      </c>
      <c r="AF22" s="30">
        <f t="shared" si="23"/>
        <v>-1884.08</v>
      </c>
    </row>
    <row r="23" spans="1:35" x14ac:dyDescent="0.25">
      <c r="A23" s="44"/>
      <c r="C23" s="44"/>
      <c r="D23" s="28"/>
      <c r="E23" s="28"/>
      <c r="F23" s="28"/>
      <c r="G23" s="28"/>
      <c r="H23" s="29"/>
      <c r="I23" s="28"/>
      <c r="J23" s="28"/>
      <c r="K23" s="28"/>
      <c r="L23" s="28"/>
      <c r="M23" s="28"/>
      <c r="N23" s="29"/>
      <c r="O23" s="28"/>
      <c r="P23" s="28"/>
      <c r="Q23" s="29"/>
      <c r="V23" s="30"/>
      <c r="W23" s="30"/>
      <c r="X23" s="30"/>
      <c r="Y23" s="30"/>
      <c r="AA23" s="30"/>
      <c r="AB23" s="30"/>
      <c r="AC23" s="30"/>
      <c r="AD23" s="30"/>
      <c r="AE23" s="30"/>
      <c r="AF23" s="30"/>
    </row>
    <row r="24" spans="1:35" x14ac:dyDescent="0.25">
      <c r="A24" s="44">
        <v>5000</v>
      </c>
      <c r="B24" s="140">
        <v>0.3</v>
      </c>
      <c r="C24" s="44">
        <f>A24*(365.25/12)*B24</f>
        <v>45656.25</v>
      </c>
      <c r="D24" s="28">
        <f t="shared" si="0"/>
        <v>68899.350000000006</v>
      </c>
      <c r="E24" s="28">
        <f t="shared" si="1"/>
        <v>69353.440000000002</v>
      </c>
      <c r="F24" s="28">
        <f t="shared" si="2"/>
        <v>0</v>
      </c>
      <c r="G24" s="28">
        <f t="shared" si="3"/>
        <v>454.08999999999651</v>
      </c>
      <c r="H24" s="29">
        <f t="shared" si="4"/>
        <v>6.6E-3</v>
      </c>
      <c r="I24" s="28">
        <f t="shared" si="5"/>
        <v>149692.23000000001</v>
      </c>
      <c r="J24" s="28">
        <f t="shared" si="6"/>
        <v>0</v>
      </c>
      <c r="K24" s="28">
        <f t="shared" si="7"/>
        <v>0</v>
      </c>
      <c r="L24" s="28">
        <f t="shared" si="8"/>
        <v>218591.58000000002</v>
      </c>
      <c r="M24" s="28">
        <f t="shared" si="9"/>
        <v>219045.67</v>
      </c>
      <c r="N24" s="29">
        <f t="shared" si="10"/>
        <v>2.0999999999999999E-3</v>
      </c>
      <c r="O24" s="28">
        <f t="shared" si="11"/>
        <v>-2826.12</v>
      </c>
      <c r="P24" s="28">
        <f t="shared" si="12"/>
        <v>216219.55000000002</v>
      </c>
      <c r="Q24" s="29">
        <f t="shared" si="13"/>
        <v>-1.09E-2</v>
      </c>
      <c r="V24" s="30">
        <f t="shared" si="14"/>
        <v>750</v>
      </c>
      <c r="W24" s="30">
        <f t="shared" si="15"/>
        <v>13660.35</v>
      </c>
      <c r="X24" s="30">
        <f>$A$24*$X$18</f>
        <v>54489</v>
      </c>
      <c r="Y24" s="30">
        <f t="shared" si="17"/>
        <v>68899.350000000006</v>
      </c>
      <c r="AA24" s="30">
        <f t="shared" si="18"/>
        <v>750</v>
      </c>
      <c r="AB24" s="30">
        <f t="shared" si="19"/>
        <v>14153.44</v>
      </c>
      <c r="AC24" s="30">
        <f>$A$24*$AC$18</f>
        <v>54450</v>
      </c>
      <c r="AD24" s="30">
        <f t="shared" si="21"/>
        <v>69353.440000000002</v>
      </c>
      <c r="AE24" s="30">
        <f t="shared" si="22"/>
        <v>0</v>
      </c>
      <c r="AF24" s="30">
        <f t="shared" si="23"/>
        <v>-2826.12</v>
      </c>
    </row>
    <row r="25" spans="1:35" x14ac:dyDescent="0.25">
      <c r="A25" s="44"/>
      <c r="B25" s="140">
        <v>0.5</v>
      </c>
      <c r="C25" s="44">
        <f>A24*(365.25/12)*B25</f>
        <v>76093.75</v>
      </c>
      <c r="D25" s="28">
        <f t="shared" si="0"/>
        <v>78006.25</v>
      </c>
      <c r="E25" s="28">
        <f t="shared" si="1"/>
        <v>78789.06</v>
      </c>
      <c r="F25" s="28">
        <f t="shared" si="2"/>
        <v>0</v>
      </c>
      <c r="G25" s="28">
        <f t="shared" si="3"/>
        <v>782.80999999999767</v>
      </c>
      <c r="H25" s="29">
        <f t="shared" si="4"/>
        <v>0.01</v>
      </c>
      <c r="I25" s="28">
        <f t="shared" si="5"/>
        <v>249487.05</v>
      </c>
      <c r="J25" s="28">
        <f t="shared" si="6"/>
        <v>0</v>
      </c>
      <c r="K25" s="28">
        <f t="shared" si="7"/>
        <v>0</v>
      </c>
      <c r="L25" s="28">
        <f t="shared" si="8"/>
        <v>327493.3</v>
      </c>
      <c r="M25" s="28">
        <f t="shared" si="9"/>
        <v>328276.11</v>
      </c>
      <c r="N25" s="29">
        <f t="shared" si="10"/>
        <v>2.3999999999999998E-3</v>
      </c>
      <c r="O25" s="28">
        <f t="shared" si="11"/>
        <v>-4710.2</v>
      </c>
      <c r="P25" s="28">
        <f t="shared" si="12"/>
        <v>323565.90999999997</v>
      </c>
      <c r="Q25" s="29">
        <f t="shared" si="13"/>
        <v>-1.2E-2</v>
      </c>
      <c r="V25" s="30">
        <f t="shared" si="14"/>
        <v>750</v>
      </c>
      <c r="W25" s="30">
        <f t="shared" si="15"/>
        <v>22767.25</v>
      </c>
      <c r="X25" s="30">
        <f t="shared" ref="X25:X26" si="24">$A$24*$X$18</f>
        <v>54489</v>
      </c>
      <c r="Y25" s="30">
        <f t="shared" si="17"/>
        <v>78006.25</v>
      </c>
      <c r="AA25" s="30">
        <f t="shared" si="18"/>
        <v>750</v>
      </c>
      <c r="AB25" s="30">
        <f t="shared" si="19"/>
        <v>23589.06</v>
      </c>
      <c r="AC25" s="30">
        <f t="shared" ref="AC25:AC26" si="25">$A$24*$AC$18</f>
        <v>54450</v>
      </c>
      <c r="AD25" s="30">
        <f t="shared" si="21"/>
        <v>78789.06</v>
      </c>
      <c r="AE25" s="30">
        <f t="shared" si="22"/>
        <v>0</v>
      </c>
      <c r="AF25" s="30">
        <f t="shared" si="23"/>
        <v>-4710.2</v>
      </c>
    </row>
    <row r="26" spans="1:35" x14ac:dyDescent="0.25">
      <c r="A26" s="44"/>
      <c r="B26" s="140">
        <v>1</v>
      </c>
      <c r="C26" s="44">
        <f>A24*(365.25/12)*B26</f>
        <v>152187.5</v>
      </c>
      <c r="D26" s="28">
        <f t="shared" si="0"/>
        <v>100773.5</v>
      </c>
      <c r="E26" s="28">
        <f t="shared" si="1"/>
        <v>102378.13</v>
      </c>
      <c r="F26" s="28">
        <f t="shared" si="2"/>
        <v>0</v>
      </c>
      <c r="G26" s="28">
        <f t="shared" si="3"/>
        <v>1604.6300000000047</v>
      </c>
      <c r="H26" s="29">
        <f t="shared" si="4"/>
        <v>1.5900000000000001E-2</v>
      </c>
      <c r="I26" s="28">
        <f t="shared" si="5"/>
        <v>498974.09</v>
      </c>
      <c r="J26" s="28">
        <f t="shared" si="6"/>
        <v>0</v>
      </c>
      <c r="K26" s="28">
        <f t="shared" si="7"/>
        <v>0</v>
      </c>
      <c r="L26" s="28">
        <f t="shared" si="8"/>
        <v>599747.59000000008</v>
      </c>
      <c r="M26" s="28">
        <f t="shared" si="9"/>
        <v>601352.22</v>
      </c>
      <c r="N26" s="29">
        <f t="shared" si="10"/>
        <v>2.7000000000000001E-3</v>
      </c>
      <c r="O26" s="28">
        <f t="shared" si="11"/>
        <v>-9420.41</v>
      </c>
      <c r="P26" s="28">
        <f t="shared" si="12"/>
        <v>591931.80999999994</v>
      </c>
      <c r="Q26" s="29">
        <f t="shared" si="13"/>
        <v>-1.2999999999999999E-2</v>
      </c>
      <c r="V26" s="30">
        <f t="shared" si="14"/>
        <v>750</v>
      </c>
      <c r="W26" s="30">
        <f t="shared" si="15"/>
        <v>45534.5</v>
      </c>
      <c r="X26" s="30">
        <f t="shared" si="24"/>
        <v>54489</v>
      </c>
      <c r="Y26" s="30">
        <f t="shared" si="17"/>
        <v>100773.5</v>
      </c>
      <c r="AA26" s="30">
        <f t="shared" si="18"/>
        <v>750</v>
      </c>
      <c r="AB26" s="30">
        <f t="shared" si="19"/>
        <v>47178.13</v>
      </c>
      <c r="AC26" s="30">
        <f t="shared" si="25"/>
        <v>54450</v>
      </c>
      <c r="AD26" s="30">
        <f t="shared" si="21"/>
        <v>102378.13</v>
      </c>
      <c r="AE26" s="30">
        <f t="shared" si="22"/>
        <v>0</v>
      </c>
      <c r="AF26" s="30">
        <f t="shared" si="23"/>
        <v>-9420.41</v>
      </c>
    </row>
    <row r="27" spans="1:35" x14ac:dyDescent="0.25">
      <c r="A27" s="44"/>
      <c r="C27" s="44"/>
      <c r="D27" s="28"/>
      <c r="E27" s="28"/>
      <c r="F27" s="28"/>
      <c r="G27" s="28"/>
      <c r="H27" s="29"/>
      <c r="I27" s="28"/>
      <c r="J27" s="28"/>
      <c r="K27" s="28"/>
      <c r="L27" s="28"/>
      <c r="M27" s="28"/>
      <c r="N27" s="29"/>
      <c r="O27" s="28"/>
      <c r="P27" s="28"/>
      <c r="Q27" s="29"/>
      <c r="V27" s="30"/>
      <c r="W27" s="30"/>
      <c r="X27" s="30"/>
      <c r="Y27" s="30"/>
      <c r="AA27" s="30"/>
      <c r="AB27" s="30"/>
      <c r="AC27" s="30"/>
      <c r="AD27" s="30"/>
      <c r="AE27" s="30"/>
      <c r="AF27" s="30"/>
    </row>
    <row r="28" spans="1:35" x14ac:dyDescent="0.25">
      <c r="A28" s="44">
        <v>10000</v>
      </c>
      <c r="B28" s="140">
        <v>0.3</v>
      </c>
      <c r="C28" s="44">
        <f>A28*(365.25/12)*B28</f>
        <v>91312.5</v>
      </c>
      <c r="D28" s="28">
        <f t="shared" si="0"/>
        <v>137048.70000000001</v>
      </c>
      <c r="E28" s="28">
        <f t="shared" si="1"/>
        <v>137956.88</v>
      </c>
      <c r="F28" s="28">
        <f t="shared" si="2"/>
        <v>0</v>
      </c>
      <c r="G28" s="28">
        <f t="shared" si="3"/>
        <v>908.17999999999302</v>
      </c>
      <c r="H28" s="29">
        <f t="shared" si="4"/>
        <v>6.6E-3</v>
      </c>
      <c r="I28" s="28">
        <f t="shared" si="5"/>
        <v>299384.46000000002</v>
      </c>
      <c r="J28" s="28">
        <f t="shared" si="6"/>
        <v>0</v>
      </c>
      <c r="K28" s="28">
        <f t="shared" si="7"/>
        <v>0</v>
      </c>
      <c r="L28" s="28">
        <f t="shared" si="8"/>
        <v>436433.16000000003</v>
      </c>
      <c r="M28" s="28">
        <f t="shared" si="9"/>
        <v>437341.34</v>
      </c>
      <c r="N28" s="29">
        <f t="shared" si="10"/>
        <v>2.0999999999999999E-3</v>
      </c>
      <c r="O28" s="28">
        <f t="shared" si="11"/>
        <v>-5652.24</v>
      </c>
      <c r="P28" s="28">
        <f t="shared" si="12"/>
        <v>431689.10000000003</v>
      </c>
      <c r="Q28" s="29">
        <f t="shared" si="13"/>
        <v>-1.09E-2</v>
      </c>
      <c r="V28" s="30">
        <f t="shared" si="14"/>
        <v>750</v>
      </c>
      <c r="W28" s="30">
        <f t="shared" si="15"/>
        <v>27320.7</v>
      </c>
      <c r="X28" s="30">
        <f>$A$28*$X$18</f>
        <v>108978</v>
      </c>
      <c r="Y28" s="30">
        <f t="shared" si="17"/>
        <v>137048.70000000001</v>
      </c>
      <c r="AA28" s="30">
        <f t="shared" si="18"/>
        <v>750</v>
      </c>
      <c r="AB28" s="30">
        <f t="shared" si="19"/>
        <v>28306.880000000001</v>
      </c>
      <c r="AC28" s="30">
        <f>$A$28*$AC$18</f>
        <v>108900</v>
      </c>
      <c r="AD28" s="30">
        <f t="shared" si="21"/>
        <v>137956.88</v>
      </c>
      <c r="AE28" s="30">
        <f t="shared" si="22"/>
        <v>0</v>
      </c>
      <c r="AF28" s="30">
        <f t="shared" si="23"/>
        <v>-5652.24</v>
      </c>
    </row>
    <row r="29" spans="1:35" x14ac:dyDescent="0.25">
      <c r="A29" s="44"/>
      <c r="B29" s="140">
        <v>0.5</v>
      </c>
      <c r="C29" s="44">
        <f>A28*(365.25/12)*B29</f>
        <v>152187.5</v>
      </c>
      <c r="D29" s="28">
        <f t="shared" si="0"/>
        <v>155262.5</v>
      </c>
      <c r="E29" s="28">
        <f t="shared" si="1"/>
        <v>156828.13</v>
      </c>
      <c r="F29" s="28">
        <f t="shared" si="2"/>
        <v>0</v>
      </c>
      <c r="G29" s="28">
        <f t="shared" si="3"/>
        <v>1565.6300000000047</v>
      </c>
      <c r="H29" s="29">
        <f t="shared" si="4"/>
        <v>1.01E-2</v>
      </c>
      <c r="I29" s="28">
        <f t="shared" si="5"/>
        <v>498974.09</v>
      </c>
      <c r="J29" s="28">
        <f t="shared" si="6"/>
        <v>0</v>
      </c>
      <c r="K29" s="28">
        <f t="shared" si="7"/>
        <v>0</v>
      </c>
      <c r="L29" s="28">
        <f t="shared" si="8"/>
        <v>654236.59000000008</v>
      </c>
      <c r="M29" s="28">
        <f t="shared" si="9"/>
        <v>655802.22</v>
      </c>
      <c r="N29" s="29">
        <f t="shared" si="10"/>
        <v>2.3999999999999998E-3</v>
      </c>
      <c r="O29" s="28">
        <f t="shared" si="11"/>
        <v>-9420.41</v>
      </c>
      <c r="P29" s="28">
        <f t="shared" si="12"/>
        <v>646381.80999999994</v>
      </c>
      <c r="Q29" s="29">
        <f t="shared" si="13"/>
        <v>-1.2E-2</v>
      </c>
      <c r="V29" s="30">
        <f t="shared" si="14"/>
        <v>750</v>
      </c>
      <c r="W29" s="30">
        <f t="shared" si="15"/>
        <v>45534.5</v>
      </c>
      <c r="X29" s="30">
        <f t="shared" ref="X29:X30" si="26">$A$28*$X$18</f>
        <v>108978</v>
      </c>
      <c r="Y29" s="30">
        <f t="shared" si="17"/>
        <v>155262.5</v>
      </c>
      <c r="AA29" s="30">
        <f t="shared" si="18"/>
        <v>750</v>
      </c>
      <c r="AB29" s="30">
        <f t="shared" si="19"/>
        <v>47178.13</v>
      </c>
      <c r="AC29" s="30">
        <f t="shared" ref="AC29:AC30" si="27">$A$28*$AC$18</f>
        <v>108900</v>
      </c>
      <c r="AD29" s="30">
        <f t="shared" si="21"/>
        <v>156828.13</v>
      </c>
      <c r="AE29" s="30">
        <f t="shared" si="22"/>
        <v>0</v>
      </c>
      <c r="AF29" s="30">
        <f t="shared" si="23"/>
        <v>-9420.41</v>
      </c>
    </row>
    <row r="30" spans="1:35" x14ac:dyDescent="0.25">
      <c r="A30" s="44"/>
      <c r="B30" s="140">
        <v>1</v>
      </c>
      <c r="C30" s="44">
        <f>A28*(365.25/12)*B30</f>
        <v>304375</v>
      </c>
      <c r="D30" s="28">
        <f t="shared" si="0"/>
        <v>200797</v>
      </c>
      <c r="E30" s="28">
        <f t="shared" si="1"/>
        <v>204006.25</v>
      </c>
      <c r="F30" s="28">
        <f t="shared" si="2"/>
        <v>0</v>
      </c>
      <c r="G30" s="28">
        <f t="shared" si="3"/>
        <v>3209.25</v>
      </c>
      <c r="H30" s="29">
        <f t="shared" si="4"/>
        <v>1.6E-2</v>
      </c>
      <c r="I30" s="28">
        <f t="shared" si="5"/>
        <v>997948.19</v>
      </c>
      <c r="J30" s="28">
        <f t="shared" si="6"/>
        <v>0</v>
      </c>
      <c r="K30" s="28">
        <f t="shared" si="7"/>
        <v>0</v>
      </c>
      <c r="L30" s="28">
        <f t="shared" si="8"/>
        <v>1198745.19</v>
      </c>
      <c r="M30" s="28">
        <f t="shared" si="9"/>
        <v>1201954.44</v>
      </c>
      <c r="N30" s="29">
        <f t="shared" si="10"/>
        <v>2.7000000000000001E-3</v>
      </c>
      <c r="O30" s="28">
        <f t="shared" si="11"/>
        <v>-18840.810000000001</v>
      </c>
      <c r="P30" s="28">
        <f t="shared" si="12"/>
        <v>1183113.6299999999</v>
      </c>
      <c r="Q30" s="29">
        <f t="shared" si="13"/>
        <v>-1.2999999999999999E-2</v>
      </c>
      <c r="V30" s="30">
        <f t="shared" si="14"/>
        <v>750</v>
      </c>
      <c r="W30" s="30">
        <f t="shared" si="15"/>
        <v>91069</v>
      </c>
      <c r="X30" s="30">
        <f t="shared" si="26"/>
        <v>108978</v>
      </c>
      <c r="Y30" s="30">
        <f t="shared" si="17"/>
        <v>200797</v>
      </c>
      <c r="AA30" s="30">
        <f t="shared" si="18"/>
        <v>750</v>
      </c>
      <c r="AB30" s="30">
        <f t="shared" si="19"/>
        <v>94356.25</v>
      </c>
      <c r="AC30" s="30">
        <f t="shared" si="27"/>
        <v>108900</v>
      </c>
      <c r="AD30" s="30">
        <f t="shared" si="21"/>
        <v>204006.25</v>
      </c>
      <c r="AE30" s="30">
        <f t="shared" si="22"/>
        <v>0</v>
      </c>
      <c r="AF30" s="30">
        <f t="shared" si="23"/>
        <v>-18840.810000000001</v>
      </c>
    </row>
    <row r="31" spans="1:35" x14ac:dyDescent="0.25">
      <c r="A31" s="44"/>
      <c r="C31" s="44"/>
      <c r="D31" s="28"/>
      <c r="E31" s="28"/>
      <c r="F31" s="28"/>
      <c r="G31" s="28"/>
      <c r="H31" s="29"/>
      <c r="I31" s="28"/>
      <c r="J31" s="28"/>
      <c r="K31" s="28"/>
      <c r="L31" s="28"/>
      <c r="M31" s="28"/>
      <c r="N31" s="29"/>
      <c r="O31" s="28"/>
      <c r="P31" s="28"/>
      <c r="Q31" s="29"/>
      <c r="V31" s="30"/>
      <c r="W31" s="30"/>
      <c r="X31" s="30"/>
      <c r="Y31" s="30"/>
      <c r="AA31" s="30"/>
      <c r="AB31" s="30"/>
      <c r="AC31" s="30"/>
      <c r="AD31" s="30"/>
      <c r="AE31" s="30"/>
      <c r="AF31" s="30"/>
    </row>
    <row r="32" spans="1:35" x14ac:dyDescent="0.25">
      <c r="A32" s="44">
        <v>15000</v>
      </c>
      <c r="B32" s="140">
        <v>0.3</v>
      </c>
      <c r="C32" s="44">
        <f>A32*(365.25/12)*B32</f>
        <v>136968.75</v>
      </c>
      <c r="D32" s="28">
        <f t="shared" si="0"/>
        <v>205198.05</v>
      </c>
      <c r="E32" s="28">
        <f t="shared" si="1"/>
        <v>206560.31</v>
      </c>
      <c r="F32" s="28">
        <f t="shared" si="2"/>
        <v>0</v>
      </c>
      <c r="G32" s="28">
        <f t="shared" si="3"/>
        <v>1362.2600000000093</v>
      </c>
      <c r="H32" s="29">
        <f t="shared" si="4"/>
        <v>6.6E-3</v>
      </c>
      <c r="I32" s="28">
        <f t="shared" si="5"/>
        <v>449076.68</v>
      </c>
      <c r="J32" s="28">
        <f t="shared" si="6"/>
        <v>0</v>
      </c>
      <c r="K32" s="28">
        <f t="shared" si="7"/>
        <v>0</v>
      </c>
      <c r="L32" s="28">
        <f t="shared" si="8"/>
        <v>654274.73</v>
      </c>
      <c r="M32" s="28">
        <f t="shared" si="9"/>
        <v>655636.99</v>
      </c>
      <c r="N32" s="29">
        <f t="shared" si="10"/>
        <v>2.0999999999999999E-3</v>
      </c>
      <c r="O32" s="28">
        <f t="shared" si="11"/>
        <v>-8478.3700000000008</v>
      </c>
      <c r="P32" s="28">
        <f t="shared" si="12"/>
        <v>647158.62</v>
      </c>
      <c r="Q32" s="29">
        <f t="shared" si="13"/>
        <v>-1.09E-2</v>
      </c>
      <c r="V32" s="30">
        <f t="shared" si="14"/>
        <v>750</v>
      </c>
      <c r="W32" s="30">
        <f t="shared" si="15"/>
        <v>40981.050000000003</v>
      </c>
      <c r="X32" s="30">
        <f>$A$32*$X$18</f>
        <v>163467</v>
      </c>
      <c r="Y32" s="30">
        <f t="shared" si="17"/>
        <v>205198.05</v>
      </c>
      <c r="AA32" s="30">
        <f t="shared" si="18"/>
        <v>750</v>
      </c>
      <c r="AB32" s="30">
        <f t="shared" si="19"/>
        <v>42460.31</v>
      </c>
      <c r="AC32" s="30">
        <f>$A$32*$AC$18</f>
        <v>163350</v>
      </c>
      <c r="AD32" s="30">
        <f t="shared" si="21"/>
        <v>206560.31</v>
      </c>
      <c r="AE32" s="30">
        <f t="shared" si="22"/>
        <v>0</v>
      </c>
      <c r="AF32" s="30">
        <f t="shared" si="23"/>
        <v>-8478.3700000000008</v>
      </c>
    </row>
    <row r="33" spans="1:32" x14ac:dyDescent="0.25">
      <c r="A33" s="44"/>
      <c r="B33" s="140">
        <v>0.5</v>
      </c>
      <c r="C33" s="44">
        <f>A32*(365.25/12)*B33</f>
        <v>228281.25</v>
      </c>
      <c r="D33" s="28">
        <f t="shared" si="0"/>
        <v>232518.75</v>
      </c>
      <c r="E33" s="28">
        <f t="shared" si="1"/>
        <v>234867.19</v>
      </c>
      <c r="F33" s="28">
        <f t="shared" si="2"/>
        <v>0</v>
      </c>
      <c r="G33" s="28">
        <f t="shared" si="3"/>
        <v>2348.4400000000023</v>
      </c>
      <c r="H33" s="29">
        <f t="shared" si="4"/>
        <v>1.01E-2</v>
      </c>
      <c r="I33" s="28">
        <f t="shared" si="5"/>
        <v>748461.14</v>
      </c>
      <c r="J33" s="28">
        <f t="shared" si="6"/>
        <v>0</v>
      </c>
      <c r="K33" s="28">
        <f t="shared" si="7"/>
        <v>0</v>
      </c>
      <c r="L33" s="28">
        <f t="shared" si="8"/>
        <v>980979.89</v>
      </c>
      <c r="M33" s="28">
        <f t="shared" si="9"/>
        <v>983328.33000000007</v>
      </c>
      <c r="N33" s="29">
        <f t="shared" si="10"/>
        <v>2.3999999999999998E-3</v>
      </c>
      <c r="O33" s="28">
        <f t="shared" si="11"/>
        <v>-14130.61</v>
      </c>
      <c r="P33" s="28">
        <f t="shared" si="12"/>
        <v>969197.72000000009</v>
      </c>
      <c r="Q33" s="29">
        <f t="shared" si="13"/>
        <v>-1.2E-2</v>
      </c>
      <c r="V33" s="30">
        <f t="shared" si="14"/>
        <v>750</v>
      </c>
      <c r="W33" s="30">
        <f t="shared" si="15"/>
        <v>68301.75</v>
      </c>
      <c r="X33" s="30">
        <f t="shared" ref="X33:X34" si="28">$A$32*$X$18</f>
        <v>163467</v>
      </c>
      <c r="Y33" s="30">
        <f t="shared" si="17"/>
        <v>232518.75</v>
      </c>
      <c r="AA33" s="30">
        <f t="shared" si="18"/>
        <v>750</v>
      </c>
      <c r="AB33" s="30">
        <f t="shared" si="19"/>
        <v>70767.19</v>
      </c>
      <c r="AC33" s="30">
        <f t="shared" ref="AC33:AC34" si="29">$A$32*$AC$18</f>
        <v>163350</v>
      </c>
      <c r="AD33" s="30">
        <f t="shared" si="21"/>
        <v>234867.19</v>
      </c>
      <c r="AE33" s="30">
        <f t="shared" si="22"/>
        <v>0</v>
      </c>
      <c r="AF33" s="30">
        <f t="shared" si="23"/>
        <v>-14130.61</v>
      </c>
    </row>
    <row r="34" spans="1:32" x14ac:dyDescent="0.25">
      <c r="A34" s="44"/>
      <c r="B34" s="140">
        <v>1</v>
      </c>
      <c r="C34" s="44">
        <f>A32*(365.25/12)*B34</f>
        <v>456562.5</v>
      </c>
      <c r="D34" s="28">
        <f t="shared" si="0"/>
        <v>300820.5</v>
      </c>
      <c r="E34" s="28">
        <f t="shared" si="1"/>
        <v>305634.38</v>
      </c>
      <c r="F34" s="28">
        <f t="shared" si="2"/>
        <v>0</v>
      </c>
      <c r="G34" s="28">
        <f t="shared" si="3"/>
        <v>4813.8800000000047</v>
      </c>
      <c r="H34" s="29">
        <f t="shared" si="4"/>
        <v>1.6E-2</v>
      </c>
      <c r="I34" s="28">
        <f t="shared" si="5"/>
        <v>1496922.28</v>
      </c>
      <c r="J34" s="28">
        <f t="shared" si="6"/>
        <v>0</v>
      </c>
      <c r="K34" s="28">
        <f t="shared" si="7"/>
        <v>0</v>
      </c>
      <c r="L34" s="28">
        <f t="shared" si="8"/>
        <v>1797742.78</v>
      </c>
      <c r="M34" s="28">
        <f t="shared" si="9"/>
        <v>1802556.6600000001</v>
      </c>
      <c r="N34" s="29">
        <f t="shared" si="10"/>
        <v>2.7000000000000001E-3</v>
      </c>
      <c r="O34" s="28">
        <f t="shared" si="11"/>
        <v>-28261.22</v>
      </c>
      <c r="P34" s="28">
        <f t="shared" si="12"/>
        <v>1774295.4400000002</v>
      </c>
      <c r="Q34" s="29">
        <f t="shared" si="13"/>
        <v>-1.2999999999999999E-2</v>
      </c>
      <c r="V34" s="30">
        <f t="shared" si="14"/>
        <v>750</v>
      </c>
      <c r="W34" s="30">
        <f t="shared" si="15"/>
        <v>136603.5</v>
      </c>
      <c r="X34" s="30">
        <f t="shared" si="28"/>
        <v>163467</v>
      </c>
      <c r="Y34" s="30">
        <f t="shared" si="17"/>
        <v>300820.5</v>
      </c>
      <c r="AA34" s="30">
        <f t="shared" si="18"/>
        <v>750</v>
      </c>
      <c r="AB34" s="30">
        <f t="shared" si="19"/>
        <v>141534.38</v>
      </c>
      <c r="AC34" s="30">
        <f t="shared" si="29"/>
        <v>163350</v>
      </c>
      <c r="AD34" s="30">
        <f t="shared" si="21"/>
        <v>305634.38</v>
      </c>
      <c r="AE34" s="30">
        <f t="shared" si="22"/>
        <v>0</v>
      </c>
      <c r="AF34" s="30">
        <f t="shared" si="23"/>
        <v>-28261.22</v>
      </c>
    </row>
    <row r="35" spans="1:32" x14ac:dyDescent="0.25">
      <c r="A35" s="44"/>
      <c r="C35" s="44"/>
      <c r="D35" s="28"/>
      <c r="E35" s="28"/>
      <c r="F35" s="28"/>
      <c r="G35" s="28"/>
      <c r="H35" s="29"/>
      <c r="I35" s="28"/>
      <c r="J35" s="28"/>
      <c r="K35" s="28"/>
      <c r="L35" s="28"/>
      <c r="M35" s="28"/>
      <c r="N35" s="29"/>
      <c r="O35" s="28"/>
      <c r="P35" s="28"/>
      <c r="Q35" s="29"/>
      <c r="V35" s="30"/>
      <c r="W35" s="30"/>
      <c r="X35" s="30"/>
      <c r="Y35" s="30"/>
      <c r="AA35" s="30"/>
      <c r="AB35" s="30"/>
      <c r="AC35" s="30"/>
      <c r="AD35" s="30"/>
      <c r="AE35" s="30"/>
      <c r="AF35" s="30"/>
    </row>
    <row r="36" spans="1:32" x14ac:dyDescent="0.25">
      <c r="A36" s="44">
        <v>20000</v>
      </c>
      <c r="B36" s="140">
        <v>0.3</v>
      </c>
      <c r="C36" s="44">
        <f>A36*(365.25/12)*B36</f>
        <v>182625</v>
      </c>
      <c r="D36" s="28">
        <f t="shared" si="0"/>
        <v>273347.40000000002</v>
      </c>
      <c r="E36" s="28">
        <f t="shared" si="1"/>
        <v>275163.75</v>
      </c>
      <c r="F36" s="28">
        <f t="shared" si="2"/>
        <v>0</v>
      </c>
      <c r="G36" s="28">
        <f t="shared" si="3"/>
        <v>1816.3499999999767</v>
      </c>
      <c r="H36" s="29">
        <f t="shared" si="4"/>
        <v>6.6E-3</v>
      </c>
      <c r="I36" s="28">
        <f t="shared" si="5"/>
        <v>598768.91</v>
      </c>
      <c r="J36" s="28">
        <f t="shared" si="6"/>
        <v>0</v>
      </c>
      <c r="K36" s="28">
        <f t="shared" si="7"/>
        <v>0</v>
      </c>
      <c r="L36" s="28">
        <f t="shared" si="8"/>
        <v>872116.31</v>
      </c>
      <c r="M36" s="28">
        <f t="shared" si="9"/>
        <v>873932.66</v>
      </c>
      <c r="N36" s="29">
        <f t="shared" si="10"/>
        <v>2.0999999999999999E-3</v>
      </c>
      <c r="O36" s="28">
        <f t="shared" si="11"/>
        <v>-11304.49</v>
      </c>
      <c r="P36" s="28">
        <f t="shared" si="12"/>
        <v>862628.17</v>
      </c>
      <c r="Q36" s="29">
        <f t="shared" si="13"/>
        <v>-1.09E-2</v>
      </c>
      <c r="V36" s="30">
        <f t="shared" si="14"/>
        <v>750</v>
      </c>
      <c r="W36" s="30">
        <f t="shared" si="15"/>
        <v>54641.4</v>
      </c>
      <c r="X36" s="30">
        <f>$A$36*$X$18</f>
        <v>217956</v>
      </c>
      <c r="Y36" s="30">
        <f t="shared" si="17"/>
        <v>273347.40000000002</v>
      </c>
      <c r="AA36" s="30">
        <f t="shared" si="18"/>
        <v>750</v>
      </c>
      <c r="AB36" s="30">
        <f t="shared" si="19"/>
        <v>56613.75</v>
      </c>
      <c r="AC36" s="30">
        <f>$A$36*$AC$18</f>
        <v>217800</v>
      </c>
      <c r="AD36" s="30">
        <f t="shared" si="21"/>
        <v>275163.75</v>
      </c>
      <c r="AE36" s="30">
        <f t="shared" si="22"/>
        <v>0</v>
      </c>
      <c r="AF36" s="30">
        <f t="shared" si="23"/>
        <v>-11304.49</v>
      </c>
    </row>
    <row r="37" spans="1:32" x14ac:dyDescent="0.25">
      <c r="B37" s="140">
        <v>0.5</v>
      </c>
      <c r="C37" s="44">
        <f>A36*(365.25/12)*B37</f>
        <v>304375</v>
      </c>
      <c r="D37" s="28">
        <f t="shared" si="0"/>
        <v>309775</v>
      </c>
      <c r="E37" s="28">
        <f t="shared" si="1"/>
        <v>312906.25</v>
      </c>
      <c r="F37" s="28">
        <f t="shared" si="2"/>
        <v>0</v>
      </c>
      <c r="G37" s="28">
        <f t="shared" si="3"/>
        <v>3131.25</v>
      </c>
      <c r="H37" s="29">
        <f t="shared" si="4"/>
        <v>1.01E-2</v>
      </c>
      <c r="I37" s="28">
        <f t="shared" si="5"/>
        <v>997948.19</v>
      </c>
      <c r="J37" s="28">
        <f t="shared" si="6"/>
        <v>0</v>
      </c>
      <c r="K37" s="28">
        <f t="shared" si="7"/>
        <v>0</v>
      </c>
      <c r="L37" s="28">
        <f t="shared" si="8"/>
        <v>1307723.19</v>
      </c>
      <c r="M37" s="28">
        <f t="shared" si="9"/>
        <v>1310854.44</v>
      </c>
      <c r="N37" s="29">
        <f t="shared" si="10"/>
        <v>2.3999999999999998E-3</v>
      </c>
      <c r="O37" s="28">
        <f t="shared" si="11"/>
        <v>-18840.810000000001</v>
      </c>
      <c r="P37" s="28">
        <f t="shared" si="12"/>
        <v>1292013.6299999999</v>
      </c>
      <c r="Q37" s="29">
        <f t="shared" si="13"/>
        <v>-1.2E-2</v>
      </c>
      <c r="V37" s="30">
        <f t="shared" si="14"/>
        <v>750</v>
      </c>
      <c r="W37" s="30">
        <f t="shared" si="15"/>
        <v>91069</v>
      </c>
      <c r="X37" s="30">
        <f t="shared" ref="X37:X38" si="30">$A$36*$X$18</f>
        <v>217956</v>
      </c>
      <c r="Y37" s="30">
        <f t="shared" si="17"/>
        <v>309775</v>
      </c>
      <c r="AA37" s="30">
        <f t="shared" si="18"/>
        <v>750</v>
      </c>
      <c r="AB37" s="30">
        <f t="shared" si="19"/>
        <v>94356.25</v>
      </c>
      <c r="AC37" s="30">
        <f t="shared" ref="AC37:AC38" si="31">$A$36*$AC$18</f>
        <v>217800</v>
      </c>
      <c r="AD37" s="30">
        <f t="shared" si="21"/>
        <v>312906.25</v>
      </c>
      <c r="AE37" s="30">
        <f t="shared" si="22"/>
        <v>0</v>
      </c>
      <c r="AF37" s="30">
        <f t="shared" si="23"/>
        <v>-18840.810000000001</v>
      </c>
    </row>
    <row r="38" spans="1:32" x14ac:dyDescent="0.25">
      <c r="B38" s="140">
        <v>1</v>
      </c>
      <c r="C38" s="44">
        <f>A36*(365.25/12)*B38</f>
        <v>608750</v>
      </c>
      <c r="D38" s="28">
        <f t="shared" si="0"/>
        <v>400844</v>
      </c>
      <c r="E38" s="28">
        <f t="shared" si="1"/>
        <v>407262.5</v>
      </c>
      <c r="F38" s="28">
        <f t="shared" si="2"/>
        <v>0</v>
      </c>
      <c r="G38" s="28">
        <f t="shared" si="3"/>
        <v>6418.5</v>
      </c>
      <c r="H38" s="29">
        <f t="shared" si="4"/>
        <v>1.6E-2</v>
      </c>
      <c r="I38" s="28">
        <f t="shared" si="5"/>
        <v>1995896.37</v>
      </c>
      <c r="J38" s="28">
        <f t="shared" si="6"/>
        <v>0</v>
      </c>
      <c r="K38" s="28">
        <f t="shared" si="7"/>
        <v>0</v>
      </c>
      <c r="L38" s="28">
        <f t="shared" si="8"/>
        <v>2396740.37</v>
      </c>
      <c r="M38" s="28">
        <f t="shared" si="9"/>
        <v>2403158.87</v>
      </c>
      <c r="N38" s="29">
        <f t="shared" si="10"/>
        <v>2.7000000000000001E-3</v>
      </c>
      <c r="O38" s="28">
        <f t="shared" si="11"/>
        <v>-37681.629999999997</v>
      </c>
      <c r="P38" s="28">
        <f t="shared" si="12"/>
        <v>2365477.2400000002</v>
      </c>
      <c r="Q38" s="29">
        <f t="shared" si="13"/>
        <v>-1.2999999999999999E-2</v>
      </c>
      <c r="V38" s="30">
        <f t="shared" si="14"/>
        <v>750</v>
      </c>
      <c r="W38" s="30">
        <f t="shared" si="15"/>
        <v>182138</v>
      </c>
      <c r="X38" s="30">
        <f t="shared" si="30"/>
        <v>217956</v>
      </c>
      <c r="Y38" s="30">
        <f t="shared" si="17"/>
        <v>400844</v>
      </c>
      <c r="AA38" s="30">
        <f t="shared" si="18"/>
        <v>750</v>
      </c>
      <c r="AB38" s="30">
        <f t="shared" si="19"/>
        <v>188712.5</v>
      </c>
      <c r="AC38" s="30">
        <f t="shared" si="31"/>
        <v>217800</v>
      </c>
      <c r="AD38" s="30">
        <f t="shared" si="21"/>
        <v>407262.5</v>
      </c>
      <c r="AE38" s="30">
        <f t="shared" si="22"/>
        <v>0</v>
      </c>
      <c r="AF38" s="30">
        <f t="shared" si="23"/>
        <v>-37681.629999999997</v>
      </c>
    </row>
    <row r="39" spans="1:32" x14ac:dyDescent="0.25">
      <c r="L39" s="27"/>
      <c r="M39" s="27"/>
      <c r="N39" s="27"/>
      <c r="O39" s="27"/>
      <c r="P39" s="27"/>
      <c r="Q39" s="27"/>
      <c r="V39" s="30"/>
    </row>
    <row r="40" spans="1:32" x14ac:dyDescent="0.25">
      <c r="A40" s="26" t="s">
        <v>85</v>
      </c>
      <c r="D40" s="43"/>
      <c r="E40" s="44"/>
      <c r="F40" s="44"/>
      <c r="L40" s="28"/>
      <c r="M40" s="28"/>
      <c r="N40" s="29"/>
      <c r="O40" s="29"/>
      <c r="P40" s="29"/>
      <c r="Q40" s="29"/>
    </row>
    <row r="41" spans="1:32" x14ac:dyDescent="0.25">
      <c r="A41" s="46" t="str">
        <f>("Forecast Period Average Usage = "&amp;TEXT(INPUT!H17,"0,000")&amp;" Mcf per month")</f>
        <v>Forecast Period Average Usage = 24,240 Mcf per month</v>
      </c>
      <c r="B41" s="46"/>
    </row>
    <row r="42" spans="1:32" x14ac:dyDescent="0.25">
      <c r="A42" s="46" t="str">
        <f>("Forecast Period Average Demand = "&amp;TEXT(INPUT!E59,"0,000")&amp;" Mcf per month")</f>
        <v>Forecast Period Average Demand = 16,560 Mcf per month</v>
      </c>
      <c r="B42" s="46"/>
    </row>
    <row r="43" spans="1:32" x14ac:dyDescent="0.25">
      <c r="A43" s="47" t="s">
        <v>122</v>
      </c>
      <c r="B43" s="47"/>
    </row>
    <row r="44" spans="1:32" x14ac:dyDescent="0.25">
      <c r="A44" s="60" t="str">
        <f>+'Rate Case Constants'!$C$26</f>
        <v>Calculations may vary from other schedules due to rounding</v>
      </c>
      <c r="B44" s="60"/>
    </row>
    <row r="46" spans="1:32" ht="13" x14ac:dyDescent="0.3">
      <c r="U46" s="13"/>
    </row>
  </sheetData>
  <mergeCells count="7">
    <mergeCell ref="AA15:AA17"/>
    <mergeCell ref="I15:K15"/>
    <mergeCell ref="V15:V17"/>
    <mergeCell ref="A1:Q1"/>
    <mergeCell ref="A2:Q2"/>
    <mergeCell ref="A3:Q3"/>
    <mergeCell ref="A4:Q4"/>
  </mergeCells>
  <pageMargins left="0.75" right="0.75" top="1.5" bottom="0.5" header="1" footer="0.5"/>
  <pageSetup scale="5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G45"/>
  <sheetViews>
    <sheetView zoomScale="70" zoomScaleNormal="70" zoomScaleSheetLayoutView="80" workbookViewId="0">
      <selection sqref="A1:R1"/>
    </sheetView>
  </sheetViews>
  <sheetFormatPr defaultColWidth="9.1796875" defaultRowHeight="12.5" x14ac:dyDescent="0.25"/>
  <cols>
    <col min="1" max="1" width="9.26953125" style="26" bestFit="1" customWidth="1"/>
    <col min="2" max="2" width="7.90625" style="26" bestFit="1" customWidth="1"/>
    <col min="3" max="3" width="9.26953125" style="26" customWidth="1"/>
    <col min="4" max="4" width="1.54296875" style="26" customWidth="1"/>
    <col min="5" max="6" width="11.1796875" style="26" bestFit="1" customWidth="1"/>
    <col min="7" max="7" width="14.90625" style="26" bestFit="1" customWidth="1"/>
    <col min="8" max="8" width="15.453125" style="26" bestFit="1" customWidth="1"/>
    <col min="9" max="9" width="9.7265625" style="26" bestFit="1" customWidth="1"/>
    <col min="10" max="12" width="12.54296875" style="26" customWidth="1"/>
    <col min="13" max="14" width="14.90625" style="26" bestFit="1" customWidth="1"/>
    <col min="15" max="16" width="12" style="26" customWidth="1"/>
    <col min="17" max="17" width="14.90625" style="26" bestFit="1" customWidth="1"/>
    <col min="18" max="18" width="12.08984375" style="26" customWidth="1"/>
    <col min="19" max="22" width="4.81640625" style="26" customWidth="1"/>
    <col min="23" max="23" width="9.1796875" style="26"/>
    <col min="24" max="24" width="12.26953125" style="26" bestFit="1" customWidth="1"/>
    <col min="25" max="25" width="10.453125" style="26" bestFit="1" customWidth="1"/>
    <col min="26" max="26" width="11.81640625" style="26" customWidth="1"/>
    <col min="27" max="28" width="9.1796875" style="26"/>
    <col min="29" max="29" width="11.08984375" style="26" bestFit="1" customWidth="1"/>
    <col min="30" max="30" width="10.453125" style="26" bestFit="1" customWidth="1"/>
    <col min="31" max="31" width="11.81640625" style="26" customWidth="1"/>
    <col min="32" max="32" width="15.54296875" style="26" bestFit="1" customWidth="1"/>
    <col min="33" max="33" width="15.1796875" style="26" bestFit="1" customWidth="1"/>
    <col min="34" max="16384" width="9.1796875" style="26"/>
  </cols>
  <sheetData>
    <row r="1" spans="1:33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33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33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33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33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33" ht="13" x14ac:dyDescent="0.3">
      <c r="A6" s="73"/>
      <c r="B6" s="73"/>
      <c r="C6" s="73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33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P7" s="74"/>
      <c r="Q7" s="74"/>
      <c r="R7" s="74" t="str">
        <f>+'Rate Case Constants'!C25</f>
        <v>SCHEDULE N (Gas)</v>
      </c>
    </row>
    <row r="8" spans="1:33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P8" s="75"/>
      <c r="Q8" s="75"/>
      <c r="R8" s="75" t="str">
        <f>+'Rate Case Constants'!I16</f>
        <v>PAGE 9 OF 13</v>
      </c>
      <c r="X8" s="69"/>
    </row>
    <row r="9" spans="1:33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P9" s="74"/>
      <c r="Q9" s="74"/>
      <c r="R9" s="74" t="str">
        <f>+'Rate Case Constants'!C36</f>
        <v>WITNESS:   R. M. CONROY</v>
      </c>
      <c r="X9" s="26" t="s">
        <v>171</v>
      </c>
    </row>
    <row r="10" spans="1:33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84"/>
      <c r="Q10" s="84"/>
      <c r="R10" s="84"/>
      <c r="S10" s="69"/>
      <c r="T10" s="69"/>
      <c r="U10" s="69"/>
      <c r="V10" s="69"/>
      <c r="W10" s="108" t="s">
        <v>26</v>
      </c>
      <c r="X10" s="54">
        <f>+INPUT!$I$49</f>
        <v>3.2446896605892146</v>
      </c>
      <c r="AA10" s="27"/>
      <c r="AB10" s="27"/>
      <c r="AC10" s="27"/>
      <c r="AD10" s="27"/>
      <c r="AE10" s="27"/>
      <c r="AF10" s="27"/>
    </row>
    <row r="11" spans="1:33" ht="13" x14ac:dyDescent="0.3">
      <c r="A11" s="80" t="s">
        <v>45</v>
      </c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69"/>
      <c r="T11" s="69"/>
      <c r="U11" s="69"/>
      <c r="V11" s="69"/>
      <c r="W11" s="108" t="s">
        <v>23</v>
      </c>
      <c r="X11" s="54">
        <f>+INPUT!$J$49</f>
        <v>0</v>
      </c>
      <c r="Z11" s="27"/>
      <c r="AA11" s="12"/>
      <c r="AB11" s="18"/>
      <c r="AC11" s="12"/>
      <c r="AD11" s="12"/>
      <c r="AE11" s="12"/>
      <c r="AF11" s="27"/>
    </row>
    <row r="12" spans="1:33" ht="13" x14ac:dyDescent="0.3">
      <c r="A12" s="12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W12" s="21" t="s">
        <v>27</v>
      </c>
      <c r="X12" s="54">
        <f>INPUT!O48</f>
        <v>0.23937948509060694</v>
      </c>
      <c r="Y12" s="17"/>
      <c r="Z12" s="12"/>
      <c r="AA12" s="12"/>
      <c r="AB12" s="12"/>
      <c r="AC12" s="12"/>
      <c r="AD12" s="12"/>
      <c r="AE12" s="12"/>
      <c r="AF12" s="27"/>
    </row>
    <row r="13" spans="1:33" ht="13" x14ac:dyDescent="0.3">
      <c r="A13" s="12"/>
      <c r="B13" s="12"/>
      <c r="C13" s="12"/>
      <c r="D13" s="12"/>
      <c r="E13" s="13" t="s">
        <v>68</v>
      </c>
      <c r="F13" s="14" t="s">
        <v>76</v>
      </c>
      <c r="G13" s="14" t="s">
        <v>69</v>
      </c>
      <c r="H13" s="14" t="s">
        <v>70</v>
      </c>
      <c r="I13" s="13" t="s">
        <v>71</v>
      </c>
      <c r="J13" s="13" t="s">
        <v>72</v>
      </c>
      <c r="K13" s="13" t="s">
        <v>77</v>
      </c>
      <c r="L13" s="14" t="s">
        <v>73</v>
      </c>
      <c r="M13" s="13" t="s">
        <v>74</v>
      </c>
      <c r="N13" s="13" t="s">
        <v>75</v>
      </c>
      <c r="O13" s="13" t="s">
        <v>139</v>
      </c>
      <c r="P13" s="13" t="s">
        <v>140</v>
      </c>
      <c r="Q13" s="13" t="s">
        <v>141</v>
      </c>
      <c r="R13" s="13" t="s">
        <v>142</v>
      </c>
      <c r="W13" s="12"/>
      <c r="X13" s="12"/>
      <c r="Y13" s="12"/>
      <c r="Z13" s="12"/>
      <c r="AA13" s="12"/>
    </row>
    <row r="14" spans="1:33" ht="13" x14ac:dyDescent="0.3">
      <c r="A14" s="27"/>
      <c r="B14" s="27"/>
      <c r="C14" s="27"/>
      <c r="D14" s="27"/>
      <c r="E14" s="62" t="s">
        <v>92</v>
      </c>
      <c r="F14" s="62" t="s">
        <v>92</v>
      </c>
      <c r="G14" s="62" t="s">
        <v>27</v>
      </c>
      <c r="H14" s="27"/>
      <c r="I14" s="27"/>
      <c r="J14" s="27"/>
      <c r="K14" s="27"/>
      <c r="L14" s="27"/>
      <c r="M14" s="13" t="s">
        <v>18</v>
      </c>
      <c r="N14" s="13" t="s">
        <v>18</v>
      </c>
      <c r="O14" s="27"/>
      <c r="P14" s="13" t="s">
        <v>175</v>
      </c>
      <c r="Q14" s="13" t="s">
        <v>18</v>
      </c>
      <c r="R14" s="13"/>
      <c r="W14" s="19" t="s">
        <v>0</v>
      </c>
      <c r="X14" s="19"/>
      <c r="Y14" s="19"/>
      <c r="Z14" s="19"/>
      <c r="AA14" s="27"/>
      <c r="AB14" s="19" t="s">
        <v>17</v>
      </c>
      <c r="AC14" s="19"/>
      <c r="AD14" s="19"/>
      <c r="AE14" s="19"/>
      <c r="AF14" s="137" t="s">
        <v>172</v>
      </c>
      <c r="AG14" s="19"/>
    </row>
    <row r="15" spans="1:33" ht="13" x14ac:dyDescent="0.3">
      <c r="A15" s="27"/>
      <c r="B15" s="23" t="s">
        <v>177</v>
      </c>
      <c r="C15" s="27"/>
      <c r="D15" s="27"/>
      <c r="E15" s="13" t="s">
        <v>13</v>
      </c>
      <c r="F15" s="13" t="s">
        <v>19</v>
      </c>
      <c r="G15" s="13" t="s">
        <v>152</v>
      </c>
      <c r="H15" s="13"/>
      <c r="I15" s="13"/>
      <c r="J15" s="148" t="s">
        <v>20</v>
      </c>
      <c r="K15" s="148"/>
      <c r="L15" s="149"/>
      <c r="M15" s="13" t="s">
        <v>13</v>
      </c>
      <c r="N15" s="13" t="s">
        <v>19</v>
      </c>
      <c r="O15" s="13"/>
      <c r="P15" s="13" t="s">
        <v>176</v>
      </c>
      <c r="Q15" s="13" t="s">
        <v>19</v>
      </c>
      <c r="R15" s="13"/>
      <c r="W15" s="14" t="s">
        <v>29</v>
      </c>
      <c r="X15" s="13"/>
      <c r="Y15" s="13"/>
      <c r="Z15" s="14"/>
      <c r="AA15" s="27"/>
      <c r="AB15" s="14" t="s">
        <v>29</v>
      </c>
      <c r="AC15" s="13"/>
      <c r="AD15" s="13"/>
      <c r="AE15" s="14"/>
      <c r="AF15" s="14" t="s">
        <v>154</v>
      </c>
      <c r="AG15" s="14" t="s">
        <v>143</v>
      </c>
    </row>
    <row r="16" spans="1:33" ht="13" x14ac:dyDescent="0.3">
      <c r="A16" s="23"/>
      <c r="B16" s="23" t="s">
        <v>159</v>
      </c>
      <c r="C16" s="23"/>
      <c r="D16" s="13"/>
      <c r="E16" s="13" t="s">
        <v>21</v>
      </c>
      <c r="F16" s="13" t="s">
        <v>21</v>
      </c>
      <c r="G16" s="13" t="s">
        <v>153</v>
      </c>
      <c r="H16" s="13" t="s">
        <v>22</v>
      </c>
      <c r="I16" s="13" t="s">
        <v>22</v>
      </c>
      <c r="J16" s="13" t="s">
        <v>26</v>
      </c>
      <c r="K16" s="13" t="s">
        <v>23</v>
      </c>
      <c r="L16" s="13" t="s">
        <v>27</v>
      </c>
      <c r="M16" s="13" t="s">
        <v>21</v>
      </c>
      <c r="N16" s="13" t="s">
        <v>21</v>
      </c>
      <c r="O16" s="13" t="s">
        <v>22</v>
      </c>
      <c r="P16" s="13" t="s">
        <v>143</v>
      </c>
      <c r="Q16" s="13" t="s">
        <v>144</v>
      </c>
      <c r="R16" s="13" t="s">
        <v>22</v>
      </c>
      <c r="W16" s="14" t="s">
        <v>30</v>
      </c>
      <c r="X16" s="13" t="s">
        <v>93</v>
      </c>
      <c r="Y16" s="13" t="s">
        <v>87</v>
      </c>
      <c r="Z16" s="14" t="s">
        <v>18</v>
      </c>
      <c r="AA16" s="27"/>
      <c r="AB16" s="14" t="s">
        <v>30</v>
      </c>
      <c r="AC16" s="13" t="s">
        <v>93</v>
      </c>
      <c r="AD16" s="13" t="s">
        <v>87</v>
      </c>
      <c r="AE16" s="14" t="s">
        <v>18</v>
      </c>
      <c r="AF16" s="14">
        <f>INPUT!O49</f>
        <v>0.51075362604005192</v>
      </c>
      <c r="AG16" s="14">
        <f>INPUT!I34</f>
        <v>-6.1899999999999997E-2</v>
      </c>
    </row>
    <row r="17" spans="1:33" ht="13" x14ac:dyDescent="0.3">
      <c r="A17" s="23" t="s">
        <v>124</v>
      </c>
      <c r="B17" s="23" t="s">
        <v>160</v>
      </c>
      <c r="C17" s="23" t="s">
        <v>123</v>
      </c>
      <c r="D17" s="13"/>
      <c r="E17" s="13"/>
      <c r="F17" s="13"/>
      <c r="G17" s="76"/>
      <c r="H17" s="13" t="s">
        <v>24</v>
      </c>
      <c r="I17" s="14" t="s">
        <v>25</v>
      </c>
      <c r="J17" s="15"/>
      <c r="K17" s="15"/>
      <c r="L17" s="16"/>
      <c r="M17" s="13" t="s">
        <v>24</v>
      </c>
      <c r="N17" s="13" t="s">
        <v>24</v>
      </c>
      <c r="O17" s="14" t="s">
        <v>25</v>
      </c>
      <c r="P17" s="77"/>
      <c r="Q17" s="77" t="s">
        <v>143</v>
      </c>
      <c r="R17" s="77" t="s">
        <v>25</v>
      </c>
      <c r="W17" s="32" t="s">
        <v>31</v>
      </c>
      <c r="X17" s="33" t="s">
        <v>31</v>
      </c>
      <c r="Y17" s="52" t="s">
        <v>31</v>
      </c>
      <c r="Z17" s="32" t="s">
        <v>21</v>
      </c>
      <c r="AA17" s="27"/>
      <c r="AB17" s="32" t="s">
        <v>31</v>
      </c>
      <c r="AC17" s="33" t="s">
        <v>31</v>
      </c>
      <c r="AD17" s="52" t="s">
        <v>31</v>
      </c>
      <c r="AE17" s="32" t="s">
        <v>21</v>
      </c>
      <c r="AF17" s="118" t="s">
        <v>147</v>
      </c>
      <c r="AG17" s="118" t="s">
        <v>147</v>
      </c>
    </row>
    <row r="18" spans="1:33" ht="13" x14ac:dyDescent="0.3">
      <c r="A18" s="139"/>
      <c r="B18" s="139"/>
      <c r="C18" s="139"/>
      <c r="D18" s="71"/>
      <c r="E18" s="71"/>
      <c r="F18" s="71"/>
      <c r="G18" s="119"/>
      <c r="H18" s="116" t="str">
        <f>("[ "&amp;F13&amp;" - ("&amp;G13&amp;" + "&amp;E13&amp;") ]")</f>
        <v>[ B - (C + A) ]</v>
      </c>
      <c r="I18" s="116" t="str">
        <f>("[ "&amp;H13&amp;" / "&amp;E13&amp;" ]")</f>
        <v>[ D / A ]</v>
      </c>
      <c r="J18" s="117"/>
      <c r="K18" s="117"/>
      <c r="L18" s="117"/>
      <c r="M18" s="116" t="str">
        <f>("["&amp;E13&amp;"+"&amp;G13&amp;"+"&amp;$J$13&amp;"+"&amp;$K$13&amp;"+"&amp;$L$13&amp;"]")</f>
        <v>[A+C+F+G+H]</v>
      </c>
      <c r="N18" s="116" t="str">
        <f>("["&amp;F13&amp;"+"&amp;J13&amp;"+"&amp;K13&amp;"+"&amp;L13&amp;"]")</f>
        <v>[B+F+G+H]</v>
      </c>
      <c r="O18" s="119" t="str">
        <f>("[("&amp;N13&amp;" - "&amp;M13&amp;") / "&amp;M13&amp;"]")</f>
        <v>[(J - I) / I]</v>
      </c>
      <c r="P18" s="119"/>
      <c r="Q18" s="119" t="s">
        <v>145</v>
      </c>
      <c r="R18" s="119" t="s">
        <v>146</v>
      </c>
      <c r="W18" s="14"/>
      <c r="X18" s="20">
        <f>+INPUT!$I$9</f>
        <v>0.29920000000000002</v>
      </c>
      <c r="Y18" s="20">
        <f>+INPUT!$I$12</f>
        <v>10.8978</v>
      </c>
      <c r="Z18" s="14"/>
      <c r="AA18" s="27"/>
      <c r="AB18" s="14"/>
      <c r="AC18" s="20">
        <f>+INPUT!$I$27</f>
        <v>0.31</v>
      </c>
      <c r="AD18" s="20">
        <f>+INPUT!$I$30</f>
        <v>10.89</v>
      </c>
      <c r="AE18" s="14"/>
      <c r="AF18" s="14"/>
      <c r="AG18" s="14"/>
    </row>
    <row r="19" spans="1:33" ht="13" x14ac:dyDescent="0.3">
      <c r="A19" s="23"/>
      <c r="C19" s="23"/>
      <c r="D19" s="13"/>
      <c r="E19" s="13"/>
      <c r="F19" s="13"/>
      <c r="G19" s="13"/>
      <c r="I19" s="13"/>
      <c r="J19" s="13"/>
      <c r="K19" s="13"/>
      <c r="L19" s="13"/>
      <c r="M19" s="14"/>
      <c r="N19" s="14"/>
      <c r="O19" s="14"/>
      <c r="P19" s="14"/>
      <c r="Q19" s="14"/>
      <c r="R19" s="14"/>
      <c r="W19" s="14"/>
      <c r="X19" s="14" t="s">
        <v>94</v>
      </c>
      <c r="Y19" s="13" t="s">
        <v>88</v>
      </c>
      <c r="Z19" s="14"/>
      <c r="AA19" s="27"/>
      <c r="AB19" s="14"/>
      <c r="AC19" s="14" t="s">
        <v>94</v>
      </c>
      <c r="AD19" s="13" t="s">
        <v>88</v>
      </c>
      <c r="AE19" s="14"/>
      <c r="AF19" s="14"/>
      <c r="AG19" s="14"/>
    </row>
    <row r="20" spans="1:33" x14ac:dyDescent="0.25">
      <c r="A20" s="44">
        <v>10</v>
      </c>
      <c r="B20" s="140">
        <v>0.3</v>
      </c>
      <c r="C20" s="44">
        <f>A20*(365.25/12)*B20</f>
        <v>91.3125</v>
      </c>
      <c r="E20" s="28">
        <f>+Z20</f>
        <v>301.3</v>
      </c>
      <c r="F20" s="28">
        <f>+AE20</f>
        <v>302.21000000000004</v>
      </c>
      <c r="G20" s="28">
        <f>AF20</f>
        <v>46.64</v>
      </c>
      <c r="H20" s="28">
        <f>+F20-(G20+E20)</f>
        <v>-45.729999999999961</v>
      </c>
      <c r="I20" s="29">
        <f>ROUND(+H20/E20,4)</f>
        <v>-0.15179999999999999</v>
      </c>
      <c r="J20" s="28">
        <f>ROUND($C20*$X$10,2)</f>
        <v>296.27999999999997</v>
      </c>
      <c r="K20" s="28">
        <f>ROUND($C20*$X$11,2)</f>
        <v>0</v>
      </c>
      <c r="L20" s="28">
        <f>ROUND($C20*$X$12,2)</f>
        <v>21.86</v>
      </c>
      <c r="M20" s="28">
        <f>+E20+G20+J20+K20+L20</f>
        <v>666.08</v>
      </c>
      <c r="N20" s="28">
        <f>+F20+J20+K20+L20</f>
        <v>620.35</v>
      </c>
      <c r="O20" s="29">
        <f>ROUND((N20-M20)/M20,4)</f>
        <v>-6.8699999999999997E-2</v>
      </c>
      <c r="P20" s="28">
        <f>AG20</f>
        <v>-5.65</v>
      </c>
      <c r="Q20" s="28">
        <f>N20+P20</f>
        <v>614.70000000000005</v>
      </c>
      <c r="R20" s="29">
        <f>ROUND((Q20-M20)/M20,4)</f>
        <v>-7.7100000000000002E-2</v>
      </c>
      <c r="W20" s="30">
        <f>+INPUT!$I$6</f>
        <v>165</v>
      </c>
      <c r="X20" s="30">
        <f>ROUND($X$18*$C20,2)</f>
        <v>27.32</v>
      </c>
      <c r="Y20" s="30">
        <f>ROUND($Y$18*$A$20,2)</f>
        <v>108.98</v>
      </c>
      <c r="Z20" s="30">
        <f>SUM(W20:Y20)</f>
        <v>301.3</v>
      </c>
      <c r="AB20" s="30">
        <f>+INPUT!$I$23</f>
        <v>165</v>
      </c>
      <c r="AC20" s="30">
        <f>ROUND($AC$18*$C20,2)</f>
        <v>28.31</v>
      </c>
      <c r="AD20" s="30">
        <f>ROUND($AD$18*$A$20,2)</f>
        <v>108.9</v>
      </c>
      <c r="AE20" s="30">
        <f>SUM(AB20:AD20)</f>
        <v>302.21000000000004</v>
      </c>
      <c r="AF20" s="30">
        <f>ROUND($AF$16*C20,2)</f>
        <v>46.64</v>
      </c>
      <c r="AG20" s="30">
        <f>ROUND($AG$16*C20,2)</f>
        <v>-5.65</v>
      </c>
    </row>
    <row r="21" spans="1:33" x14ac:dyDescent="0.25">
      <c r="A21" s="44"/>
      <c r="B21" s="140">
        <v>0.5</v>
      </c>
      <c r="C21" s="44">
        <f>A20*(365.25/12)*B21</f>
        <v>152.1875</v>
      </c>
      <c r="E21" s="28">
        <f t="shared" ref="E21:E38" si="0">+Z21</f>
        <v>319.51</v>
      </c>
      <c r="F21" s="28">
        <f t="shared" ref="F21:F38" si="1">+AE21</f>
        <v>321.08000000000004</v>
      </c>
      <c r="G21" s="28">
        <f t="shared" ref="G21:G38" si="2">AF21</f>
        <v>77.73</v>
      </c>
      <c r="H21" s="28">
        <f t="shared" ref="H21:H38" si="3">+F21-(G21+E21)</f>
        <v>-76.159999999999968</v>
      </c>
      <c r="I21" s="29">
        <f t="shared" ref="I21:I38" si="4">ROUND(+H21/E21,4)</f>
        <v>-0.2384</v>
      </c>
      <c r="J21" s="28">
        <f t="shared" ref="J21:J38" si="5">ROUND($C21*$X$10,2)</f>
        <v>493.8</v>
      </c>
      <c r="K21" s="28">
        <f t="shared" ref="K21:K38" si="6">ROUND($C21*$X$11,2)</f>
        <v>0</v>
      </c>
      <c r="L21" s="28">
        <f t="shared" ref="L21:L38" si="7">ROUND($C21*$X$12,2)</f>
        <v>36.43</v>
      </c>
      <c r="M21" s="28">
        <f t="shared" ref="M21:M38" si="8">+E21+G21+J21+K21+L21</f>
        <v>927.46999999999991</v>
      </c>
      <c r="N21" s="28">
        <f t="shared" ref="N21:N38" si="9">+F21+J21+K21+L21</f>
        <v>851.31000000000006</v>
      </c>
      <c r="O21" s="29">
        <f t="shared" ref="O21:O38" si="10">ROUND((N21-M21)/M21,4)</f>
        <v>-8.2100000000000006E-2</v>
      </c>
      <c r="P21" s="28">
        <f t="shared" ref="P21:P38" si="11">AG21</f>
        <v>-9.42</v>
      </c>
      <c r="Q21" s="28">
        <f t="shared" ref="Q21:Q38" si="12">N21+P21</f>
        <v>841.8900000000001</v>
      </c>
      <c r="R21" s="29">
        <f t="shared" ref="R21:R38" si="13">ROUND((Q21-M21)/M21,4)</f>
        <v>-9.2299999999999993E-2</v>
      </c>
      <c r="W21" s="30">
        <f>$W$20</f>
        <v>165</v>
      </c>
      <c r="X21" s="30">
        <f t="shared" ref="X21:X38" si="14">ROUND($X$18*$C21,2)</f>
        <v>45.53</v>
      </c>
      <c r="Y21" s="30">
        <f t="shared" ref="Y21:Y22" si="15">ROUND($Y$18*$A$20,2)</f>
        <v>108.98</v>
      </c>
      <c r="Z21" s="30">
        <f t="shared" ref="Z21:Z38" si="16">SUM(W21:Y21)</f>
        <v>319.51</v>
      </c>
      <c r="AB21" s="30">
        <f>$AB$20</f>
        <v>165</v>
      </c>
      <c r="AC21" s="30">
        <f t="shared" ref="AC21:AC38" si="17">ROUND($AC$18*$C21,2)</f>
        <v>47.18</v>
      </c>
      <c r="AD21" s="30">
        <f t="shared" ref="AD21:AD22" si="18">ROUND($AD$18*$A$20,2)</f>
        <v>108.9</v>
      </c>
      <c r="AE21" s="30">
        <f t="shared" ref="AE21:AE38" si="19">SUM(AB21:AD21)</f>
        <v>321.08000000000004</v>
      </c>
      <c r="AF21" s="30">
        <f t="shared" ref="AF21:AF38" si="20">ROUND($AF$16*C21,2)</f>
        <v>77.73</v>
      </c>
      <c r="AG21" s="30">
        <f t="shared" ref="AG21:AG38" si="21">ROUND($AG$16*C21,2)</f>
        <v>-9.42</v>
      </c>
    </row>
    <row r="22" spans="1:33" x14ac:dyDescent="0.25">
      <c r="A22" s="44"/>
      <c r="B22" s="140">
        <v>1</v>
      </c>
      <c r="C22" s="44">
        <f>A20*(365.25/12)*B22</f>
        <v>304.375</v>
      </c>
      <c r="E22" s="28">
        <f t="shared" si="0"/>
        <v>365.05</v>
      </c>
      <c r="F22" s="28">
        <f t="shared" si="1"/>
        <v>368.26</v>
      </c>
      <c r="G22" s="28">
        <f t="shared" si="2"/>
        <v>155.46</v>
      </c>
      <c r="H22" s="28">
        <f t="shared" si="3"/>
        <v>-152.25</v>
      </c>
      <c r="I22" s="29">
        <f t="shared" si="4"/>
        <v>-0.41710000000000003</v>
      </c>
      <c r="J22" s="28">
        <f t="shared" si="5"/>
        <v>987.6</v>
      </c>
      <c r="K22" s="28">
        <f t="shared" si="6"/>
        <v>0</v>
      </c>
      <c r="L22" s="28">
        <f t="shared" si="7"/>
        <v>72.86</v>
      </c>
      <c r="M22" s="28">
        <f t="shared" si="8"/>
        <v>1580.97</v>
      </c>
      <c r="N22" s="28">
        <f t="shared" si="9"/>
        <v>1428.72</v>
      </c>
      <c r="O22" s="29">
        <f t="shared" si="10"/>
        <v>-9.6299999999999997E-2</v>
      </c>
      <c r="P22" s="28">
        <f t="shared" si="11"/>
        <v>-18.84</v>
      </c>
      <c r="Q22" s="28">
        <f t="shared" si="12"/>
        <v>1409.88</v>
      </c>
      <c r="R22" s="29">
        <f t="shared" si="13"/>
        <v>-0.1082</v>
      </c>
      <c r="W22" s="30">
        <f t="shared" ref="W22:W38" si="22">$W$20</f>
        <v>165</v>
      </c>
      <c r="X22" s="30">
        <f t="shared" si="14"/>
        <v>91.07</v>
      </c>
      <c r="Y22" s="30">
        <f t="shared" si="15"/>
        <v>108.98</v>
      </c>
      <c r="Z22" s="30">
        <f t="shared" si="16"/>
        <v>365.05</v>
      </c>
      <c r="AB22" s="30">
        <f t="shared" ref="AB22:AB38" si="23">$AB$20</f>
        <v>165</v>
      </c>
      <c r="AC22" s="30">
        <f t="shared" si="17"/>
        <v>94.36</v>
      </c>
      <c r="AD22" s="30">
        <f t="shared" si="18"/>
        <v>108.9</v>
      </c>
      <c r="AE22" s="30">
        <f t="shared" si="19"/>
        <v>368.26</v>
      </c>
      <c r="AF22" s="30">
        <f t="shared" si="20"/>
        <v>155.46</v>
      </c>
      <c r="AG22" s="30">
        <f t="shared" si="21"/>
        <v>-18.84</v>
      </c>
    </row>
    <row r="23" spans="1:33" x14ac:dyDescent="0.25">
      <c r="A23" s="44"/>
      <c r="C23" s="44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9"/>
      <c r="P23" s="28"/>
      <c r="Q23" s="28"/>
      <c r="R23" s="29"/>
      <c r="W23" s="30"/>
      <c r="X23" s="30"/>
      <c r="Y23" s="30"/>
      <c r="Z23" s="30"/>
      <c r="AB23" s="30"/>
      <c r="AC23" s="30"/>
      <c r="AD23" s="30"/>
      <c r="AE23" s="30"/>
      <c r="AF23" s="30"/>
      <c r="AG23" s="30"/>
    </row>
    <row r="24" spans="1:33" x14ac:dyDescent="0.25">
      <c r="A24" s="44">
        <v>25</v>
      </c>
      <c r="B24" s="140">
        <v>0.3</v>
      </c>
      <c r="C24" s="44">
        <f>A24*(365.25/12)*B24</f>
        <v>228.28125</v>
      </c>
      <c r="E24" s="28">
        <f t="shared" si="0"/>
        <v>505.75</v>
      </c>
      <c r="F24" s="28">
        <f t="shared" si="1"/>
        <v>508.02</v>
      </c>
      <c r="G24" s="28">
        <f t="shared" si="2"/>
        <v>116.6</v>
      </c>
      <c r="H24" s="28">
        <f t="shared" si="3"/>
        <v>-114.33000000000004</v>
      </c>
      <c r="I24" s="29">
        <f t="shared" si="4"/>
        <v>-0.2261</v>
      </c>
      <c r="J24" s="28">
        <f t="shared" si="5"/>
        <v>740.7</v>
      </c>
      <c r="K24" s="28">
        <f t="shared" si="6"/>
        <v>0</v>
      </c>
      <c r="L24" s="28">
        <f t="shared" si="7"/>
        <v>54.65</v>
      </c>
      <c r="M24" s="28">
        <f t="shared" si="8"/>
        <v>1417.7000000000003</v>
      </c>
      <c r="N24" s="28">
        <f t="shared" si="9"/>
        <v>1303.3700000000001</v>
      </c>
      <c r="O24" s="29">
        <f t="shared" si="10"/>
        <v>-8.0600000000000005E-2</v>
      </c>
      <c r="P24" s="28">
        <f t="shared" si="11"/>
        <v>-14.13</v>
      </c>
      <c r="Q24" s="28">
        <f t="shared" si="12"/>
        <v>1289.24</v>
      </c>
      <c r="R24" s="29">
        <f t="shared" si="13"/>
        <v>-9.06E-2</v>
      </c>
      <c r="W24" s="30">
        <f t="shared" si="22"/>
        <v>165</v>
      </c>
      <c r="X24" s="30">
        <f t="shared" si="14"/>
        <v>68.3</v>
      </c>
      <c r="Y24" s="30">
        <f>ROUND($Y$18*$A$24,2)</f>
        <v>272.45</v>
      </c>
      <c r="Z24" s="30">
        <f t="shared" si="16"/>
        <v>505.75</v>
      </c>
      <c r="AB24" s="30">
        <f t="shared" si="23"/>
        <v>165</v>
      </c>
      <c r="AC24" s="30">
        <f t="shared" si="17"/>
        <v>70.77</v>
      </c>
      <c r="AD24" s="30">
        <f>ROUND($AD$18*$A$24,2)</f>
        <v>272.25</v>
      </c>
      <c r="AE24" s="30">
        <f t="shared" si="19"/>
        <v>508.02</v>
      </c>
      <c r="AF24" s="30">
        <f t="shared" si="20"/>
        <v>116.6</v>
      </c>
      <c r="AG24" s="30">
        <f t="shared" si="21"/>
        <v>-14.13</v>
      </c>
    </row>
    <row r="25" spans="1:33" x14ac:dyDescent="0.25">
      <c r="A25" s="44"/>
      <c r="B25" s="140">
        <v>0.5</v>
      </c>
      <c r="C25" s="44">
        <f>A24*(365.25/12)*B25</f>
        <v>380.46875</v>
      </c>
      <c r="E25" s="28">
        <f t="shared" si="0"/>
        <v>551.29</v>
      </c>
      <c r="F25" s="28">
        <f t="shared" si="1"/>
        <v>555.20000000000005</v>
      </c>
      <c r="G25" s="28">
        <f t="shared" si="2"/>
        <v>194.33</v>
      </c>
      <c r="H25" s="28">
        <f t="shared" si="3"/>
        <v>-190.41999999999996</v>
      </c>
      <c r="I25" s="29">
        <f t="shared" si="4"/>
        <v>-0.34539999999999998</v>
      </c>
      <c r="J25" s="28">
        <f t="shared" si="5"/>
        <v>1234.5</v>
      </c>
      <c r="K25" s="28">
        <f t="shared" si="6"/>
        <v>0</v>
      </c>
      <c r="L25" s="28">
        <f t="shared" si="7"/>
        <v>91.08</v>
      </c>
      <c r="M25" s="28">
        <f t="shared" si="8"/>
        <v>2071.1999999999998</v>
      </c>
      <c r="N25" s="28">
        <f t="shared" si="9"/>
        <v>1880.78</v>
      </c>
      <c r="O25" s="29">
        <f t="shared" si="10"/>
        <v>-9.1899999999999996E-2</v>
      </c>
      <c r="P25" s="28">
        <f t="shared" si="11"/>
        <v>-23.55</v>
      </c>
      <c r="Q25" s="28">
        <f t="shared" si="12"/>
        <v>1857.23</v>
      </c>
      <c r="R25" s="29">
        <f t="shared" si="13"/>
        <v>-0.1033</v>
      </c>
      <c r="W25" s="30">
        <f t="shared" si="22"/>
        <v>165</v>
      </c>
      <c r="X25" s="30">
        <f t="shared" si="14"/>
        <v>113.84</v>
      </c>
      <c r="Y25" s="30">
        <f t="shared" ref="Y25:Y26" si="24">ROUND($Y$18*$A$24,2)</f>
        <v>272.45</v>
      </c>
      <c r="Z25" s="30">
        <f t="shared" si="16"/>
        <v>551.29</v>
      </c>
      <c r="AB25" s="30">
        <f t="shared" si="23"/>
        <v>165</v>
      </c>
      <c r="AC25" s="30">
        <f t="shared" si="17"/>
        <v>117.95</v>
      </c>
      <c r="AD25" s="30">
        <f t="shared" ref="AD25:AD26" si="25">ROUND($AD$18*$A$24,2)</f>
        <v>272.25</v>
      </c>
      <c r="AE25" s="30">
        <f t="shared" si="19"/>
        <v>555.20000000000005</v>
      </c>
      <c r="AF25" s="30">
        <f t="shared" si="20"/>
        <v>194.33</v>
      </c>
      <c r="AG25" s="30">
        <f t="shared" si="21"/>
        <v>-23.55</v>
      </c>
    </row>
    <row r="26" spans="1:33" x14ac:dyDescent="0.25">
      <c r="A26" s="44"/>
      <c r="B26" s="140">
        <v>1</v>
      </c>
      <c r="C26" s="44">
        <f>A24*(365.25/12)*B26</f>
        <v>760.9375</v>
      </c>
      <c r="E26" s="28">
        <f t="shared" si="0"/>
        <v>665.11999999999989</v>
      </c>
      <c r="F26" s="28">
        <f t="shared" si="1"/>
        <v>673.14</v>
      </c>
      <c r="G26" s="28">
        <f t="shared" si="2"/>
        <v>388.65</v>
      </c>
      <c r="H26" s="28">
        <f t="shared" si="3"/>
        <v>-380.63</v>
      </c>
      <c r="I26" s="29">
        <f t="shared" si="4"/>
        <v>-0.57230000000000003</v>
      </c>
      <c r="J26" s="28">
        <f t="shared" si="5"/>
        <v>2469.0100000000002</v>
      </c>
      <c r="K26" s="28">
        <f t="shared" si="6"/>
        <v>0</v>
      </c>
      <c r="L26" s="28">
        <f t="shared" si="7"/>
        <v>182.15</v>
      </c>
      <c r="M26" s="28">
        <f t="shared" si="8"/>
        <v>3704.9300000000003</v>
      </c>
      <c r="N26" s="28">
        <f t="shared" si="9"/>
        <v>3324.3</v>
      </c>
      <c r="O26" s="29">
        <f t="shared" si="10"/>
        <v>-0.1027</v>
      </c>
      <c r="P26" s="28">
        <f t="shared" si="11"/>
        <v>-47.1</v>
      </c>
      <c r="Q26" s="28">
        <f t="shared" si="12"/>
        <v>3277.2000000000003</v>
      </c>
      <c r="R26" s="29">
        <f t="shared" si="13"/>
        <v>-0.1154</v>
      </c>
      <c r="W26" s="30">
        <f t="shared" si="22"/>
        <v>165</v>
      </c>
      <c r="X26" s="30">
        <f t="shared" si="14"/>
        <v>227.67</v>
      </c>
      <c r="Y26" s="30">
        <f t="shared" si="24"/>
        <v>272.45</v>
      </c>
      <c r="Z26" s="30">
        <f t="shared" si="16"/>
        <v>665.11999999999989</v>
      </c>
      <c r="AB26" s="30">
        <f t="shared" si="23"/>
        <v>165</v>
      </c>
      <c r="AC26" s="30">
        <f t="shared" si="17"/>
        <v>235.89</v>
      </c>
      <c r="AD26" s="30">
        <f t="shared" si="25"/>
        <v>272.25</v>
      </c>
      <c r="AE26" s="30">
        <f t="shared" si="19"/>
        <v>673.14</v>
      </c>
      <c r="AF26" s="30">
        <f t="shared" si="20"/>
        <v>388.65</v>
      </c>
      <c r="AG26" s="30">
        <f t="shared" si="21"/>
        <v>-47.1</v>
      </c>
    </row>
    <row r="27" spans="1:33" x14ac:dyDescent="0.25">
      <c r="A27" s="44"/>
      <c r="C27" s="44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9"/>
      <c r="P27" s="28"/>
      <c r="Q27" s="28"/>
      <c r="R27" s="29"/>
      <c r="W27" s="30"/>
      <c r="X27" s="30"/>
      <c r="Y27" s="30"/>
      <c r="Z27" s="30"/>
      <c r="AB27" s="30"/>
      <c r="AC27" s="30"/>
      <c r="AD27" s="30"/>
      <c r="AE27" s="30"/>
      <c r="AF27" s="30"/>
      <c r="AG27" s="30"/>
    </row>
    <row r="28" spans="1:33" x14ac:dyDescent="0.25">
      <c r="A28" s="44">
        <v>50</v>
      </c>
      <c r="B28" s="140">
        <v>0.3</v>
      </c>
      <c r="C28" s="44">
        <f>A28*(365.25/12)*B28</f>
        <v>456.5625</v>
      </c>
      <c r="E28" s="28">
        <f t="shared" si="0"/>
        <v>846.49</v>
      </c>
      <c r="F28" s="28">
        <f t="shared" si="1"/>
        <v>851.03</v>
      </c>
      <c r="G28" s="28">
        <f t="shared" si="2"/>
        <v>233.19</v>
      </c>
      <c r="H28" s="28">
        <f t="shared" si="3"/>
        <v>-228.65000000000009</v>
      </c>
      <c r="I28" s="29">
        <f t="shared" si="4"/>
        <v>-0.27010000000000001</v>
      </c>
      <c r="J28" s="28">
        <f t="shared" si="5"/>
        <v>1481.4</v>
      </c>
      <c r="K28" s="28">
        <f t="shared" si="6"/>
        <v>0</v>
      </c>
      <c r="L28" s="28">
        <f t="shared" si="7"/>
        <v>109.29</v>
      </c>
      <c r="M28" s="28">
        <f t="shared" si="8"/>
        <v>2670.37</v>
      </c>
      <c r="N28" s="28">
        <f t="shared" si="9"/>
        <v>2441.7200000000003</v>
      </c>
      <c r="O28" s="29">
        <f t="shared" si="10"/>
        <v>-8.5599999999999996E-2</v>
      </c>
      <c r="P28" s="28">
        <f t="shared" si="11"/>
        <v>-28.26</v>
      </c>
      <c r="Q28" s="28">
        <f t="shared" si="12"/>
        <v>2413.46</v>
      </c>
      <c r="R28" s="29">
        <f t="shared" si="13"/>
        <v>-9.6199999999999994E-2</v>
      </c>
      <c r="W28" s="30">
        <f t="shared" si="22"/>
        <v>165</v>
      </c>
      <c r="X28" s="30">
        <f t="shared" si="14"/>
        <v>136.6</v>
      </c>
      <c r="Y28" s="30">
        <f>ROUND($Y$18*$A$28,2)</f>
        <v>544.89</v>
      </c>
      <c r="Z28" s="30">
        <f t="shared" si="16"/>
        <v>846.49</v>
      </c>
      <c r="AB28" s="30">
        <f t="shared" si="23"/>
        <v>165</v>
      </c>
      <c r="AC28" s="30">
        <f t="shared" si="17"/>
        <v>141.53</v>
      </c>
      <c r="AD28" s="30">
        <f>ROUND($AD$18*$A$28,2)</f>
        <v>544.5</v>
      </c>
      <c r="AE28" s="30">
        <f t="shared" si="19"/>
        <v>851.03</v>
      </c>
      <c r="AF28" s="30">
        <f t="shared" si="20"/>
        <v>233.19</v>
      </c>
      <c r="AG28" s="30">
        <f t="shared" si="21"/>
        <v>-28.26</v>
      </c>
    </row>
    <row r="29" spans="1:33" x14ac:dyDescent="0.25">
      <c r="A29" s="44"/>
      <c r="B29" s="140">
        <v>0.5</v>
      </c>
      <c r="C29" s="44">
        <f>A28*(365.25/12)*B29</f>
        <v>760.9375</v>
      </c>
      <c r="E29" s="28">
        <f t="shared" si="0"/>
        <v>937.56</v>
      </c>
      <c r="F29" s="28">
        <f t="shared" si="1"/>
        <v>945.39</v>
      </c>
      <c r="G29" s="28">
        <f t="shared" si="2"/>
        <v>388.65</v>
      </c>
      <c r="H29" s="28">
        <f t="shared" si="3"/>
        <v>-380.82000000000005</v>
      </c>
      <c r="I29" s="29">
        <f t="shared" si="4"/>
        <v>-0.40620000000000001</v>
      </c>
      <c r="J29" s="28">
        <f t="shared" si="5"/>
        <v>2469.0100000000002</v>
      </c>
      <c r="K29" s="28">
        <f t="shared" si="6"/>
        <v>0</v>
      </c>
      <c r="L29" s="28">
        <f t="shared" si="7"/>
        <v>182.15</v>
      </c>
      <c r="M29" s="28">
        <f t="shared" si="8"/>
        <v>3977.3700000000003</v>
      </c>
      <c r="N29" s="28">
        <f t="shared" si="9"/>
        <v>3596.55</v>
      </c>
      <c r="O29" s="29">
        <f t="shared" si="10"/>
        <v>-9.5699999999999993E-2</v>
      </c>
      <c r="P29" s="28">
        <f t="shared" si="11"/>
        <v>-47.1</v>
      </c>
      <c r="Q29" s="28">
        <f t="shared" si="12"/>
        <v>3549.4500000000003</v>
      </c>
      <c r="R29" s="29">
        <f t="shared" si="13"/>
        <v>-0.1076</v>
      </c>
      <c r="W29" s="30">
        <f t="shared" si="22"/>
        <v>165</v>
      </c>
      <c r="X29" s="30">
        <f t="shared" si="14"/>
        <v>227.67</v>
      </c>
      <c r="Y29" s="30">
        <f t="shared" ref="Y29:Y30" si="26">ROUND($Y$18*$A$28,2)</f>
        <v>544.89</v>
      </c>
      <c r="Z29" s="30">
        <f t="shared" si="16"/>
        <v>937.56</v>
      </c>
      <c r="AB29" s="30">
        <f t="shared" si="23"/>
        <v>165</v>
      </c>
      <c r="AC29" s="30">
        <f t="shared" si="17"/>
        <v>235.89</v>
      </c>
      <c r="AD29" s="30">
        <f>ROUND($AD$18*$A$28,2)</f>
        <v>544.5</v>
      </c>
      <c r="AE29" s="30">
        <f t="shared" si="19"/>
        <v>945.39</v>
      </c>
      <c r="AF29" s="30">
        <f t="shared" si="20"/>
        <v>388.65</v>
      </c>
      <c r="AG29" s="30">
        <f t="shared" si="21"/>
        <v>-47.1</v>
      </c>
    </row>
    <row r="30" spans="1:33" x14ac:dyDescent="0.25">
      <c r="A30" s="44"/>
      <c r="B30" s="140">
        <v>1</v>
      </c>
      <c r="C30" s="44">
        <f>A28*(365.25/12)*B30</f>
        <v>1521.875</v>
      </c>
      <c r="E30" s="28">
        <f t="shared" si="0"/>
        <v>1165.24</v>
      </c>
      <c r="F30" s="28">
        <f t="shared" si="1"/>
        <v>1181.28</v>
      </c>
      <c r="G30" s="28">
        <f t="shared" si="2"/>
        <v>777.3</v>
      </c>
      <c r="H30" s="28">
        <f t="shared" si="3"/>
        <v>-761.26</v>
      </c>
      <c r="I30" s="29">
        <f t="shared" si="4"/>
        <v>-0.65329999999999999</v>
      </c>
      <c r="J30" s="28">
        <f t="shared" si="5"/>
        <v>4938.01</v>
      </c>
      <c r="K30" s="28">
        <f t="shared" si="6"/>
        <v>0</v>
      </c>
      <c r="L30" s="28">
        <f t="shared" si="7"/>
        <v>364.31</v>
      </c>
      <c r="M30" s="28">
        <f t="shared" si="8"/>
        <v>7244.8600000000006</v>
      </c>
      <c r="N30" s="28">
        <f t="shared" si="9"/>
        <v>6483.6</v>
      </c>
      <c r="O30" s="29">
        <f t="shared" si="10"/>
        <v>-0.1051</v>
      </c>
      <c r="P30" s="28">
        <f t="shared" si="11"/>
        <v>-94.2</v>
      </c>
      <c r="Q30" s="28">
        <f t="shared" si="12"/>
        <v>6389.4000000000005</v>
      </c>
      <c r="R30" s="29">
        <f t="shared" si="13"/>
        <v>-0.1181</v>
      </c>
      <c r="W30" s="30">
        <f t="shared" si="22"/>
        <v>165</v>
      </c>
      <c r="X30" s="30">
        <f t="shared" si="14"/>
        <v>455.35</v>
      </c>
      <c r="Y30" s="30">
        <f t="shared" si="26"/>
        <v>544.89</v>
      </c>
      <c r="Z30" s="30">
        <f t="shared" si="16"/>
        <v>1165.24</v>
      </c>
      <c r="AB30" s="30">
        <f t="shared" si="23"/>
        <v>165</v>
      </c>
      <c r="AC30" s="30">
        <f t="shared" si="17"/>
        <v>471.78</v>
      </c>
      <c r="AD30" s="30">
        <f>ROUND($AD$18*$A$28,2)</f>
        <v>544.5</v>
      </c>
      <c r="AE30" s="30">
        <f t="shared" si="19"/>
        <v>1181.28</v>
      </c>
      <c r="AF30" s="30">
        <f t="shared" si="20"/>
        <v>777.3</v>
      </c>
      <c r="AG30" s="30">
        <f t="shared" si="21"/>
        <v>-94.2</v>
      </c>
    </row>
    <row r="31" spans="1:33" x14ac:dyDescent="0.25">
      <c r="A31" s="44"/>
      <c r="C31" s="44"/>
      <c r="E31" s="28"/>
      <c r="F31" s="28"/>
      <c r="G31" s="28"/>
      <c r="H31" s="28"/>
      <c r="I31" s="29"/>
      <c r="J31" s="28"/>
      <c r="K31" s="28"/>
      <c r="L31" s="28"/>
      <c r="M31" s="28"/>
      <c r="N31" s="28"/>
      <c r="O31" s="29"/>
      <c r="P31" s="28"/>
      <c r="Q31" s="28"/>
      <c r="R31" s="29"/>
      <c r="W31" s="30"/>
      <c r="X31" s="30"/>
      <c r="Y31" s="30"/>
      <c r="Z31" s="30"/>
      <c r="AB31" s="30"/>
      <c r="AC31" s="30"/>
      <c r="AD31" s="30"/>
      <c r="AE31" s="30"/>
      <c r="AF31" s="30"/>
      <c r="AG31" s="30"/>
    </row>
    <row r="32" spans="1:33" x14ac:dyDescent="0.25">
      <c r="A32" s="44">
        <v>75</v>
      </c>
      <c r="B32" s="140">
        <v>0.3</v>
      </c>
      <c r="C32" s="44">
        <f>A32*(365.25/12)*B32</f>
        <v>684.84375</v>
      </c>
      <c r="E32" s="28">
        <f t="shared" si="0"/>
        <v>1187.25</v>
      </c>
      <c r="F32" s="28">
        <f t="shared" si="1"/>
        <v>1194.05</v>
      </c>
      <c r="G32" s="28">
        <f t="shared" si="2"/>
        <v>349.79</v>
      </c>
      <c r="H32" s="28">
        <f t="shared" si="3"/>
        <v>-342.99</v>
      </c>
      <c r="I32" s="29">
        <f t="shared" si="4"/>
        <v>-0.28889999999999999</v>
      </c>
      <c r="J32" s="28">
        <f t="shared" si="5"/>
        <v>2222.11</v>
      </c>
      <c r="K32" s="28">
        <f t="shared" si="6"/>
        <v>0</v>
      </c>
      <c r="L32" s="28">
        <f t="shared" si="7"/>
        <v>163.94</v>
      </c>
      <c r="M32" s="28">
        <f t="shared" si="8"/>
        <v>3923.09</v>
      </c>
      <c r="N32" s="28">
        <f t="shared" si="9"/>
        <v>3580.1</v>
      </c>
      <c r="O32" s="29">
        <f t="shared" si="10"/>
        <v>-8.7400000000000005E-2</v>
      </c>
      <c r="P32" s="28">
        <f t="shared" si="11"/>
        <v>-42.39</v>
      </c>
      <c r="Q32" s="28">
        <f t="shared" si="12"/>
        <v>3537.71</v>
      </c>
      <c r="R32" s="29">
        <f t="shared" si="13"/>
        <v>-9.8199999999999996E-2</v>
      </c>
      <c r="W32" s="30">
        <f t="shared" si="22"/>
        <v>165</v>
      </c>
      <c r="X32" s="30">
        <f t="shared" si="14"/>
        <v>204.91</v>
      </c>
      <c r="Y32" s="30">
        <f>ROUND($Y$18*$A$32,2)</f>
        <v>817.34</v>
      </c>
      <c r="Z32" s="30">
        <f t="shared" si="16"/>
        <v>1187.25</v>
      </c>
      <c r="AB32" s="30">
        <f t="shared" si="23"/>
        <v>165</v>
      </c>
      <c r="AC32" s="30">
        <f t="shared" si="17"/>
        <v>212.3</v>
      </c>
      <c r="AD32" s="30">
        <f>ROUND($AD$18*$A$32,2)</f>
        <v>816.75</v>
      </c>
      <c r="AE32" s="30">
        <f t="shared" si="19"/>
        <v>1194.05</v>
      </c>
      <c r="AF32" s="30">
        <f t="shared" si="20"/>
        <v>349.79</v>
      </c>
      <c r="AG32" s="30">
        <f t="shared" si="21"/>
        <v>-42.39</v>
      </c>
    </row>
    <row r="33" spans="1:33" x14ac:dyDescent="0.25">
      <c r="A33" s="44"/>
      <c r="B33" s="140">
        <v>0.5</v>
      </c>
      <c r="C33" s="44">
        <f>A32*(365.25/12)*B33</f>
        <v>1141.40625</v>
      </c>
      <c r="E33" s="28">
        <f t="shared" si="0"/>
        <v>1323.85</v>
      </c>
      <c r="F33" s="28">
        <f t="shared" si="1"/>
        <v>1335.59</v>
      </c>
      <c r="G33" s="28">
        <f t="shared" si="2"/>
        <v>582.98</v>
      </c>
      <c r="H33" s="28">
        <f t="shared" si="3"/>
        <v>-571.24</v>
      </c>
      <c r="I33" s="29">
        <f t="shared" si="4"/>
        <v>-0.43149999999999999</v>
      </c>
      <c r="J33" s="28">
        <f t="shared" si="5"/>
        <v>3703.51</v>
      </c>
      <c r="K33" s="28">
        <f t="shared" si="6"/>
        <v>0</v>
      </c>
      <c r="L33" s="28">
        <f t="shared" si="7"/>
        <v>273.23</v>
      </c>
      <c r="M33" s="28">
        <f t="shared" si="8"/>
        <v>5883.57</v>
      </c>
      <c r="N33" s="28">
        <f t="shared" si="9"/>
        <v>5312.33</v>
      </c>
      <c r="O33" s="29">
        <f t="shared" si="10"/>
        <v>-9.7100000000000006E-2</v>
      </c>
      <c r="P33" s="28">
        <f t="shared" si="11"/>
        <v>-70.650000000000006</v>
      </c>
      <c r="Q33" s="28">
        <f t="shared" si="12"/>
        <v>5241.68</v>
      </c>
      <c r="R33" s="29">
        <f t="shared" si="13"/>
        <v>-0.1091</v>
      </c>
      <c r="W33" s="30">
        <f t="shared" si="22"/>
        <v>165</v>
      </c>
      <c r="X33" s="30">
        <f t="shared" si="14"/>
        <v>341.51</v>
      </c>
      <c r="Y33" s="30">
        <f t="shared" ref="Y33:Y34" si="27">ROUND($Y$18*$A$32,2)</f>
        <v>817.34</v>
      </c>
      <c r="Z33" s="30">
        <f t="shared" si="16"/>
        <v>1323.85</v>
      </c>
      <c r="AB33" s="30">
        <f t="shared" si="23"/>
        <v>165</v>
      </c>
      <c r="AC33" s="30">
        <f t="shared" si="17"/>
        <v>353.84</v>
      </c>
      <c r="AD33" s="30">
        <f t="shared" ref="AD33:AD34" si="28">ROUND($AD$18*$A$32,2)</f>
        <v>816.75</v>
      </c>
      <c r="AE33" s="30">
        <f t="shared" si="19"/>
        <v>1335.59</v>
      </c>
      <c r="AF33" s="30">
        <f t="shared" si="20"/>
        <v>582.98</v>
      </c>
      <c r="AG33" s="30">
        <f t="shared" si="21"/>
        <v>-70.650000000000006</v>
      </c>
    </row>
    <row r="34" spans="1:33" x14ac:dyDescent="0.25">
      <c r="A34" s="44"/>
      <c r="B34" s="140">
        <v>1</v>
      </c>
      <c r="C34" s="44">
        <f>A32*(365.25/12)*B34</f>
        <v>2282.8125</v>
      </c>
      <c r="E34" s="28">
        <f t="shared" si="0"/>
        <v>1665.3600000000001</v>
      </c>
      <c r="F34" s="28">
        <f t="shared" si="1"/>
        <v>1689.42</v>
      </c>
      <c r="G34" s="28">
        <f t="shared" si="2"/>
        <v>1165.95</v>
      </c>
      <c r="H34" s="28">
        <f t="shared" si="3"/>
        <v>-1141.8900000000003</v>
      </c>
      <c r="I34" s="29">
        <f t="shared" si="4"/>
        <v>-0.68569999999999998</v>
      </c>
      <c r="J34" s="28">
        <f t="shared" si="5"/>
        <v>7407.02</v>
      </c>
      <c r="K34" s="28">
        <f t="shared" si="6"/>
        <v>0</v>
      </c>
      <c r="L34" s="28">
        <f t="shared" si="7"/>
        <v>546.46</v>
      </c>
      <c r="M34" s="28">
        <f t="shared" si="8"/>
        <v>10784.79</v>
      </c>
      <c r="N34" s="28">
        <f t="shared" si="9"/>
        <v>9642.9000000000015</v>
      </c>
      <c r="O34" s="29">
        <f t="shared" si="10"/>
        <v>-0.10589999999999999</v>
      </c>
      <c r="P34" s="28">
        <f t="shared" si="11"/>
        <v>-141.31</v>
      </c>
      <c r="Q34" s="28">
        <f t="shared" si="12"/>
        <v>9501.590000000002</v>
      </c>
      <c r="R34" s="29">
        <f t="shared" si="13"/>
        <v>-0.11899999999999999</v>
      </c>
      <c r="W34" s="30">
        <f t="shared" si="22"/>
        <v>165</v>
      </c>
      <c r="X34" s="30">
        <f t="shared" si="14"/>
        <v>683.02</v>
      </c>
      <c r="Y34" s="30">
        <f t="shared" si="27"/>
        <v>817.34</v>
      </c>
      <c r="Z34" s="30">
        <f t="shared" si="16"/>
        <v>1665.3600000000001</v>
      </c>
      <c r="AB34" s="30">
        <f t="shared" si="23"/>
        <v>165</v>
      </c>
      <c r="AC34" s="30">
        <f t="shared" si="17"/>
        <v>707.67</v>
      </c>
      <c r="AD34" s="30">
        <f t="shared" si="28"/>
        <v>816.75</v>
      </c>
      <c r="AE34" s="30">
        <f t="shared" si="19"/>
        <v>1689.42</v>
      </c>
      <c r="AF34" s="30">
        <f t="shared" si="20"/>
        <v>1165.95</v>
      </c>
      <c r="AG34" s="30">
        <f t="shared" si="21"/>
        <v>-141.31</v>
      </c>
    </row>
    <row r="35" spans="1:33" x14ac:dyDescent="0.25">
      <c r="A35" s="44"/>
      <c r="C35" s="44"/>
      <c r="E35" s="28"/>
      <c r="F35" s="28"/>
      <c r="G35" s="28"/>
      <c r="H35" s="28"/>
      <c r="I35" s="29"/>
      <c r="J35" s="28"/>
      <c r="K35" s="28"/>
      <c r="L35" s="28"/>
      <c r="M35" s="28"/>
      <c r="N35" s="28"/>
      <c r="O35" s="29"/>
      <c r="P35" s="28"/>
      <c r="Q35" s="28"/>
      <c r="R35" s="29"/>
      <c r="W35" s="30"/>
      <c r="X35" s="30"/>
      <c r="Y35" s="30"/>
      <c r="Z35" s="30"/>
      <c r="AB35" s="30"/>
      <c r="AC35" s="30"/>
      <c r="AD35" s="30"/>
      <c r="AE35" s="30"/>
      <c r="AF35" s="30"/>
      <c r="AG35" s="30"/>
    </row>
    <row r="36" spans="1:33" x14ac:dyDescent="0.25">
      <c r="A36" s="44">
        <v>100</v>
      </c>
      <c r="B36" s="140">
        <v>0.3</v>
      </c>
      <c r="C36" s="44">
        <f>A36*(365.25/12)*B36</f>
        <v>913.125</v>
      </c>
      <c r="E36" s="28">
        <f t="shared" si="0"/>
        <v>1527.99</v>
      </c>
      <c r="F36" s="28">
        <f t="shared" si="1"/>
        <v>1537.07</v>
      </c>
      <c r="G36" s="28">
        <f t="shared" si="2"/>
        <v>466.38</v>
      </c>
      <c r="H36" s="28">
        <f t="shared" si="3"/>
        <v>-457.29999999999995</v>
      </c>
      <c r="I36" s="29">
        <f t="shared" si="4"/>
        <v>-0.29930000000000001</v>
      </c>
      <c r="J36" s="28">
        <f t="shared" si="5"/>
        <v>2962.81</v>
      </c>
      <c r="K36" s="28">
        <f t="shared" si="6"/>
        <v>0</v>
      </c>
      <c r="L36" s="28">
        <f t="shared" si="7"/>
        <v>218.58</v>
      </c>
      <c r="M36" s="28">
        <f t="shared" si="8"/>
        <v>5175.76</v>
      </c>
      <c r="N36" s="28">
        <f t="shared" si="9"/>
        <v>4718.46</v>
      </c>
      <c r="O36" s="29">
        <f t="shared" si="10"/>
        <v>-8.8400000000000006E-2</v>
      </c>
      <c r="P36" s="28">
        <f t="shared" si="11"/>
        <v>-56.52</v>
      </c>
      <c r="Q36" s="28">
        <f t="shared" si="12"/>
        <v>4661.9399999999996</v>
      </c>
      <c r="R36" s="29">
        <f t="shared" si="13"/>
        <v>-9.9299999999999999E-2</v>
      </c>
      <c r="W36" s="30">
        <f t="shared" si="22"/>
        <v>165</v>
      </c>
      <c r="X36" s="30">
        <f t="shared" si="14"/>
        <v>273.20999999999998</v>
      </c>
      <c r="Y36" s="30">
        <f>ROUND($Y$18*$A$36,2)</f>
        <v>1089.78</v>
      </c>
      <c r="Z36" s="30">
        <f t="shared" si="16"/>
        <v>1527.99</v>
      </c>
      <c r="AB36" s="30">
        <f t="shared" si="23"/>
        <v>165</v>
      </c>
      <c r="AC36" s="30">
        <f t="shared" si="17"/>
        <v>283.07</v>
      </c>
      <c r="AD36" s="30">
        <f>ROUND($AD$18*$A$36,2)</f>
        <v>1089</v>
      </c>
      <c r="AE36" s="30">
        <f t="shared" si="19"/>
        <v>1537.07</v>
      </c>
      <c r="AF36" s="30">
        <f t="shared" si="20"/>
        <v>466.38</v>
      </c>
      <c r="AG36" s="30">
        <f t="shared" si="21"/>
        <v>-56.52</v>
      </c>
    </row>
    <row r="37" spans="1:33" x14ac:dyDescent="0.25">
      <c r="B37" s="140">
        <v>0.5</v>
      </c>
      <c r="C37" s="44">
        <f>A36*(365.25/12)*B37</f>
        <v>1521.875</v>
      </c>
      <c r="E37" s="28">
        <f t="shared" si="0"/>
        <v>1710.13</v>
      </c>
      <c r="F37" s="28">
        <f t="shared" si="1"/>
        <v>1725.78</v>
      </c>
      <c r="G37" s="28">
        <f t="shared" si="2"/>
        <v>777.3</v>
      </c>
      <c r="H37" s="28">
        <f t="shared" si="3"/>
        <v>-761.65000000000032</v>
      </c>
      <c r="I37" s="29">
        <f t="shared" si="4"/>
        <v>-0.44540000000000002</v>
      </c>
      <c r="J37" s="28">
        <f t="shared" si="5"/>
        <v>4938.01</v>
      </c>
      <c r="K37" s="28">
        <f t="shared" si="6"/>
        <v>0</v>
      </c>
      <c r="L37" s="28">
        <f t="shared" si="7"/>
        <v>364.31</v>
      </c>
      <c r="M37" s="28">
        <f t="shared" si="8"/>
        <v>7789.7500000000009</v>
      </c>
      <c r="N37" s="28">
        <f t="shared" si="9"/>
        <v>7028.1</v>
      </c>
      <c r="O37" s="29">
        <f t="shared" si="10"/>
        <v>-9.7799999999999998E-2</v>
      </c>
      <c r="P37" s="28">
        <f t="shared" si="11"/>
        <v>-94.2</v>
      </c>
      <c r="Q37" s="28">
        <f t="shared" si="12"/>
        <v>6933.9000000000005</v>
      </c>
      <c r="R37" s="29">
        <f t="shared" si="13"/>
        <v>-0.1099</v>
      </c>
      <c r="W37" s="30">
        <f t="shared" si="22"/>
        <v>165</v>
      </c>
      <c r="X37" s="30">
        <f t="shared" si="14"/>
        <v>455.35</v>
      </c>
      <c r="Y37" s="30">
        <f t="shared" ref="Y37:Y38" si="29">ROUND($Y$18*$A$36,2)</f>
        <v>1089.78</v>
      </c>
      <c r="Z37" s="30">
        <f t="shared" si="16"/>
        <v>1710.13</v>
      </c>
      <c r="AB37" s="30">
        <f t="shared" si="23"/>
        <v>165</v>
      </c>
      <c r="AC37" s="30">
        <f t="shared" si="17"/>
        <v>471.78</v>
      </c>
      <c r="AD37" s="30">
        <f t="shared" ref="AD37:AD38" si="30">ROUND($AD$18*$A$36,2)</f>
        <v>1089</v>
      </c>
      <c r="AE37" s="30">
        <f t="shared" si="19"/>
        <v>1725.78</v>
      </c>
      <c r="AF37" s="30">
        <f t="shared" si="20"/>
        <v>777.3</v>
      </c>
      <c r="AG37" s="30">
        <f t="shared" si="21"/>
        <v>-94.2</v>
      </c>
    </row>
    <row r="38" spans="1:33" x14ac:dyDescent="0.25">
      <c r="B38" s="140">
        <v>1</v>
      </c>
      <c r="C38" s="44">
        <f>A36*(365.25/12)*B38</f>
        <v>3043.75</v>
      </c>
      <c r="E38" s="28">
        <f t="shared" si="0"/>
        <v>2165.4700000000003</v>
      </c>
      <c r="F38" s="28">
        <f t="shared" si="1"/>
        <v>2197.56</v>
      </c>
      <c r="G38" s="28">
        <f t="shared" si="2"/>
        <v>1554.61</v>
      </c>
      <c r="H38" s="28">
        <f t="shared" si="3"/>
        <v>-1522.52</v>
      </c>
      <c r="I38" s="29">
        <f t="shared" si="4"/>
        <v>-0.70309999999999995</v>
      </c>
      <c r="J38" s="28">
        <f t="shared" si="5"/>
        <v>9876.02</v>
      </c>
      <c r="K38" s="28">
        <f t="shared" si="6"/>
        <v>0</v>
      </c>
      <c r="L38" s="28">
        <f t="shared" si="7"/>
        <v>728.61</v>
      </c>
      <c r="M38" s="28">
        <f t="shared" si="8"/>
        <v>14324.710000000001</v>
      </c>
      <c r="N38" s="28">
        <f t="shared" si="9"/>
        <v>12802.19</v>
      </c>
      <c r="O38" s="29">
        <f t="shared" si="10"/>
        <v>-0.10630000000000001</v>
      </c>
      <c r="P38" s="28">
        <f t="shared" si="11"/>
        <v>-188.41</v>
      </c>
      <c r="Q38" s="28">
        <f t="shared" si="12"/>
        <v>12613.78</v>
      </c>
      <c r="R38" s="29">
        <f t="shared" si="13"/>
        <v>-0.11940000000000001</v>
      </c>
      <c r="W38" s="30">
        <f t="shared" si="22"/>
        <v>165</v>
      </c>
      <c r="X38" s="30">
        <f t="shared" si="14"/>
        <v>910.69</v>
      </c>
      <c r="Y38" s="30">
        <f t="shared" si="29"/>
        <v>1089.78</v>
      </c>
      <c r="Z38" s="30">
        <f t="shared" si="16"/>
        <v>2165.4700000000003</v>
      </c>
      <c r="AB38" s="30">
        <f t="shared" si="23"/>
        <v>165</v>
      </c>
      <c r="AC38" s="30">
        <f t="shared" si="17"/>
        <v>943.56</v>
      </c>
      <c r="AD38" s="30">
        <f t="shared" si="30"/>
        <v>1089</v>
      </c>
      <c r="AE38" s="30">
        <f t="shared" si="19"/>
        <v>2197.56</v>
      </c>
      <c r="AF38" s="30">
        <f t="shared" si="20"/>
        <v>1554.61</v>
      </c>
      <c r="AG38" s="30">
        <f t="shared" si="21"/>
        <v>-188.41</v>
      </c>
    </row>
    <row r="39" spans="1:33" x14ac:dyDescent="0.25">
      <c r="M39" s="27"/>
      <c r="N39" s="27"/>
      <c r="O39" s="27"/>
      <c r="P39" s="27"/>
      <c r="Q39" s="27"/>
      <c r="R39" s="27"/>
    </row>
    <row r="40" spans="1:33" x14ac:dyDescent="0.25">
      <c r="A40" s="26" t="s">
        <v>85</v>
      </c>
      <c r="E40" s="43"/>
      <c r="F40" s="44"/>
      <c r="G40" s="44"/>
      <c r="M40" s="28"/>
      <c r="N40" s="28"/>
      <c r="O40" s="29"/>
      <c r="P40" s="29"/>
      <c r="Q40" s="29"/>
      <c r="R40" s="29"/>
    </row>
    <row r="41" spans="1:33" x14ac:dyDescent="0.25">
      <c r="A41" s="46" t="str">
        <f>("Forecast Period Average Usage = "&amp;ROUND(INPUT!I17,1)&amp;" Mcf per month")</f>
        <v>Forecast Period Average Usage = 0.4 Mcf per month</v>
      </c>
      <c r="B41" s="46"/>
      <c r="C41" s="46"/>
      <c r="F41" s="27"/>
      <c r="G41" s="27"/>
      <c r="H41" s="27"/>
      <c r="I41" s="27"/>
      <c r="J41" s="27"/>
      <c r="K41" s="27"/>
      <c r="L41" s="27"/>
    </row>
    <row r="42" spans="1:33" x14ac:dyDescent="0.25">
      <c r="A42" s="46" t="str">
        <f>("Forecast Period Average Demand = "&amp;INPUT!E60&amp;" Mcf per month")</f>
        <v>Forecast Period Average Demand = 50 Mcf per month</v>
      </c>
      <c r="B42" s="46"/>
      <c r="C42" s="46"/>
      <c r="F42" s="27"/>
      <c r="G42" s="27"/>
      <c r="H42" s="27"/>
      <c r="I42" s="27"/>
      <c r="J42" s="27"/>
      <c r="K42" s="27"/>
      <c r="L42" s="27"/>
    </row>
    <row r="43" spans="1:33" x14ac:dyDescent="0.25">
      <c r="A43" s="47" t="s">
        <v>122</v>
      </c>
      <c r="B43" s="47"/>
      <c r="C43" s="47"/>
    </row>
    <row r="44" spans="1:33" x14ac:dyDescent="0.25">
      <c r="A44" s="47" t="s">
        <v>89</v>
      </c>
    </row>
    <row r="45" spans="1:33" x14ac:dyDescent="0.25">
      <c r="A45" s="60" t="str">
        <f>+'Rate Case Constants'!$C$26</f>
        <v>Calculations may vary from other schedules due to rounding</v>
      </c>
    </row>
  </sheetData>
  <mergeCells count="5">
    <mergeCell ref="J15:L15"/>
    <mergeCell ref="A1:R1"/>
    <mergeCell ref="A2:R2"/>
    <mergeCell ref="A3:R3"/>
    <mergeCell ref="A4:R4"/>
  </mergeCells>
  <printOptions horizontalCentered="1"/>
  <pageMargins left="0.75" right="0.75" top="1.5" bottom="0.5" header="1" footer="0.5"/>
  <pageSetup scale="5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G45"/>
  <sheetViews>
    <sheetView zoomScale="70" zoomScaleNormal="70" zoomScaleSheetLayoutView="80" workbookViewId="0">
      <selection sqref="A1:R1"/>
    </sheetView>
  </sheetViews>
  <sheetFormatPr defaultColWidth="9.1796875" defaultRowHeight="12.5" x14ac:dyDescent="0.25"/>
  <cols>
    <col min="1" max="1" width="9.26953125" style="26" bestFit="1" customWidth="1"/>
    <col min="2" max="2" width="7.90625" style="26" bestFit="1" customWidth="1"/>
    <col min="3" max="3" width="9.26953125" style="26" customWidth="1"/>
    <col min="4" max="4" width="2" style="26" customWidth="1"/>
    <col min="5" max="6" width="12.26953125" style="26" bestFit="1" customWidth="1"/>
    <col min="7" max="7" width="14.90625" style="26" bestFit="1" customWidth="1"/>
    <col min="8" max="8" width="15.453125" style="26" bestFit="1" customWidth="1"/>
    <col min="9" max="9" width="9.7265625" style="26" bestFit="1" customWidth="1"/>
    <col min="10" max="12" width="12.36328125" style="26" customWidth="1"/>
    <col min="13" max="14" width="14.90625" style="26" bestFit="1" customWidth="1"/>
    <col min="15" max="15" width="8.81640625" style="26" bestFit="1" customWidth="1"/>
    <col min="16" max="16" width="11.08984375" style="26" bestFit="1" customWidth="1"/>
    <col min="17" max="17" width="14.90625" style="26" bestFit="1" customWidth="1"/>
    <col min="18" max="18" width="12.08984375" style="26" customWidth="1"/>
    <col min="19" max="22" width="3.1796875" style="26" customWidth="1"/>
    <col min="23" max="23" width="10.1796875" style="26" bestFit="1" customWidth="1"/>
    <col min="24" max="24" width="12.26953125" style="26" bestFit="1" customWidth="1"/>
    <col min="25" max="25" width="10.6328125" style="26" bestFit="1" customWidth="1"/>
    <col min="26" max="26" width="11.7265625" style="26" bestFit="1" customWidth="1"/>
    <col min="27" max="28" width="9.1796875" style="26"/>
    <col min="29" max="29" width="11.08984375" style="26" bestFit="1" customWidth="1"/>
    <col min="30" max="30" width="10.6328125" style="26" bestFit="1" customWidth="1"/>
    <col min="31" max="31" width="11.7265625" style="26" bestFit="1" customWidth="1"/>
    <col min="32" max="32" width="15.54296875" style="26" bestFit="1" customWidth="1"/>
    <col min="33" max="33" width="15.1796875" style="26" bestFit="1" customWidth="1"/>
    <col min="34" max="16384" width="9.1796875" style="26"/>
  </cols>
  <sheetData>
    <row r="1" spans="1:33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33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33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33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1:33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33" ht="13" x14ac:dyDescent="0.3">
      <c r="A6" s="73"/>
      <c r="B6" s="73"/>
      <c r="C6" s="73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33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P7" s="74"/>
      <c r="Q7" s="74"/>
      <c r="R7" s="74" t="str">
        <f>+'Rate Case Constants'!C25</f>
        <v>SCHEDULE N (Gas)</v>
      </c>
    </row>
    <row r="8" spans="1:33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P8" s="75"/>
      <c r="Q8" s="75"/>
      <c r="R8" s="75" t="str">
        <f>+'Rate Case Constants'!I17</f>
        <v>PAGE 10 OF 13</v>
      </c>
    </row>
    <row r="9" spans="1:33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P9" s="74"/>
      <c r="Q9" s="74"/>
      <c r="R9" s="74" t="str">
        <f>+'Rate Case Constants'!C36</f>
        <v>WITNESS:   R. M. CONROY</v>
      </c>
      <c r="X9" s="26" t="s">
        <v>171</v>
      </c>
    </row>
    <row r="10" spans="1:33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P10" s="84"/>
      <c r="Q10" s="84"/>
      <c r="R10" s="84"/>
      <c r="S10" s="69"/>
      <c r="T10" s="69"/>
      <c r="U10" s="69"/>
      <c r="V10" s="69"/>
      <c r="W10" s="108" t="s">
        <v>26</v>
      </c>
      <c r="X10" s="54">
        <f>+INPUT!$I$49</f>
        <v>3.2446896605892146</v>
      </c>
      <c r="Y10" s="17"/>
      <c r="AA10" s="27"/>
      <c r="AB10" s="27"/>
      <c r="AC10" s="27"/>
      <c r="AD10" s="27"/>
      <c r="AE10" s="27"/>
      <c r="AF10" s="27"/>
    </row>
    <row r="11" spans="1:33" ht="13" x14ac:dyDescent="0.3">
      <c r="A11" s="80" t="s">
        <v>45</v>
      </c>
      <c r="B11" s="81"/>
      <c r="C11" s="8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69"/>
      <c r="T11" s="69"/>
      <c r="U11" s="69"/>
      <c r="V11" s="69"/>
      <c r="W11" s="108" t="s">
        <v>23</v>
      </c>
      <c r="X11" s="54">
        <f>+INPUT!$J$49</f>
        <v>0</v>
      </c>
      <c r="Y11" s="54"/>
      <c r="Z11" s="27"/>
      <c r="AA11" s="12"/>
      <c r="AB11" s="18"/>
      <c r="AC11" s="12"/>
      <c r="AD11" s="12"/>
      <c r="AE11" s="12"/>
      <c r="AF11" s="27"/>
    </row>
    <row r="12" spans="1:33" ht="13" x14ac:dyDescent="0.3">
      <c r="A12" s="12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W12" s="21" t="s">
        <v>27</v>
      </c>
      <c r="X12" s="54">
        <f>INPUT!O48</f>
        <v>0.23937948509060694</v>
      </c>
      <c r="Y12" s="17"/>
      <c r="Z12" s="12"/>
      <c r="AA12" s="12"/>
      <c r="AB12" s="12"/>
      <c r="AC12" s="12"/>
      <c r="AD12" s="12"/>
      <c r="AE12" s="12"/>
      <c r="AF12" s="27"/>
    </row>
    <row r="13" spans="1:33" ht="13" x14ac:dyDescent="0.3">
      <c r="A13" s="12"/>
      <c r="B13" s="12"/>
      <c r="C13" s="12"/>
      <c r="D13" s="12"/>
      <c r="E13" s="13" t="s">
        <v>68</v>
      </c>
      <c r="F13" s="14" t="s">
        <v>76</v>
      </c>
      <c r="G13" s="14" t="s">
        <v>69</v>
      </c>
      <c r="H13" s="14" t="s">
        <v>70</v>
      </c>
      <c r="I13" s="13" t="s">
        <v>71</v>
      </c>
      <c r="J13" s="13" t="s">
        <v>72</v>
      </c>
      <c r="K13" s="13" t="s">
        <v>77</v>
      </c>
      <c r="L13" s="14" t="s">
        <v>73</v>
      </c>
      <c r="M13" s="13" t="s">
        <v>74</v>
      </c>
      <c r="N13" s="13" t="s">
        <v>75</v>
      </c>
      <c r="O13" s="13" t="s">
        <v>139</v>
      </c>
      <c r="P13" s="13" t="s">
        <v>140</v>
      </c>
      <c r="Q13" s="13" t="s">
        <v>141</v>
      </c>
      <c r="R13" s="13" t="s">
        <v>142</v>
      </c>
      <c r="W13" s="12"/>
      <c r="X13" s="12"/>
      <c r="Y13" s="12"/>
      <c r="Z13" s="12"/>
      <c r="AA13" s="12"/>
    </row>
    <row r="14" spans="1:33" ht="13" x14ac:dyDescent="0.3">
      <c r="A14" s="27"/>
      <c r="B14" s="27"/>
      <c r="C14" s="27"/>
      <c r="D14" s="27"/>
      <c r="E14" s="62" t="s">
        <v>92</v>
      </c>
      <c r="F14" s="62" t="s">
        <v>92</v>
      </c>
      <c r="G14" s="62" t="s">
        <v>27</v>
      </c>
      <c r="H14" s="27"/>
      <c r="I14" s="27"/>
      <c r="J14" s="27"/>
      <c r="K14" s="27"/>
      <c r="L14" s="27"/>
      <c r="M14" s="13" t="s">
        <v>18</v>
      </c>
      <c r="N14" s="13" t="s">
        <v>18</v>
      </c>
      <c r="O14" s="27"/>
      <c r="P14" s="13" t="s">
        <v>175</v>
      </c>
      <c r="Q14" s="13" t="s">
        <v>18</v>
      </c>
      <c r="R14" s="13"/>
      <c r="W14" s="19" t="s">
        <v>0</v>
      </c>
      <c r="X14" s="19"/>
      <c r="Y14" s="19"/>
      <c r="Z14" s="19"/>
      <c r="AA14" s="27"/>
      <c r="AB14" s="19" t="s">
        <v>17</v>
      </c>
      <c r="AC14" s="19"/>
      <c r="AD14" s="19"/>
      <c r="AE14" s="19"/>
      <c r="AF14" s="137" t="s">
        <v>172</v>
      </c>
      <c r="AG14" s="19"/>
    </row>
    <row r="15" spans="1:33" ht="13" x14ac:dyDescent="0.3">
      <c r="A15" s="27"/>
      <c r="B15" s="23" t="s">
        <v>177</v>
      </c>
      <c r="C15" s="27"/>
      <c r="D15" s="27"/>
      <c r="E15" s="13" t="s">
        <v>13</v>
      </c>
      <c r="F15" s="13" t="s">
        <v>19</v>
      </c>
      <c r="G15" s="13" t="s">
        <v>152</v>
      </c>
      <c r="H15" s="13"/>
      <c r="I15" s="13"/>
      <c r="J15" s="148" t="s">
        <v>20</v>
      </c>
      <c r="K15" s="148"/>
      <c r="L15" s="149"/>
      <c r="M15" s="13" t="s">
        <v>13</v>
      </c>
      <c r="N15" s="13" t="s">
        <v>19</v>
      </c>
      <c r="O15" s="13"/>
      <c r="P15" s="13" t="s">
        <v>176</v>
      </c>
      <c r="Q15" s="13" t="s">
        <v>19</v>
      </c>
      <c r="R15" s="13"/>
      <c r="W15" s="14" t="s">
        <v>29</v>
      </c>
      <c r="X15" s="13"/>
      <c r="Y15" s="13"/>
      <c r="Z15" s="14"/>
      <c r="AA15" s="27"/>
      <c r="AB15" s="14" t="s">
        <v>29</v>
      </c>
      <c r="AC15" s="13"/>
      <c r="AD15" s="13"/>
      <c r="AE15" s="14"/>
      <c r="AF15" s="14" t="s">
        <v>154</v>
      </c>
      <c r="AG15" s="14" t="s">
        <v>143</v>
      </c>
    </row>
    <row r="16" spans="1:33" ht="13" x14ac:dyDescent="0.3">
      <c r="A16" s="23"/>
      <c r="B16" s="23" t="s">
        <v>159</v>
      </c>
      <c r="C16" s="23"/>
      <c r="D16" s="13"/>
      <c r="E16" s="13" t="s">
        <v>21</v>
      </c>
      <c r="F16" s="13" t="s">
        <v>21</v>
      </c>
      <c r="G16" s="13" t="s">
        <v>153</v>
      </c>
      <c r="H16" s="13" t="s">
        <v>22</v>
      </c>
      <c r="I16" s="13" t="s">
        <v>22</v>
      </c>
      <c r="J16" s="13" t="s">
        <v>26</v>
      </c>
      <c r="K16" s="13" t="s">
        <v>23</v>
      </c>
      <c r="L16" s="13" t="s">
        <v>27</v>
      </c>
      <c r="M16" s="13" t="s">
        <v>21</v>
      </c>
      <c r="N16" s="13" t="s">
        <v>21</v>
      </c>
      <c r="O16" s="13" t="s">
        <v>22</v>
      </c>
      <c r="P16" s="13" t="s">
        <v>143</v>
      </c>
      <c r="Q16" s="13" t="s">
        <v>144</v>
      </c>
      <c r="R16" s="13" t="s">
        <v>22</v>
      </c>
      <c r="W16" s="14" t="s">
        <v>30</v>
      </c>
      <c r="X16" s="13" t="s">
        <v>93</v>
      </c>
      <c r="Y16" s="13" t="s">
        <v>87</v>
      </c>
      <c r="Z16" s="14" t="s">
        <v>18</v>
      </c>
      <c r="AA16" s="27"/>
      <c r="AB16" s="14" t="s">
        <v>30</v>
      </c>
      <c r="AC16" s="13" t="s">
        <v>93</v>
      </c>
      <c r="AD16" s="13" t="s">
        <v>87</v>
      </c>
      <c r="AE16" s="14" t="s">
        <v>18</v>
      </c>
      <c r="AF16" s="14">
        <f>INPUT!O49</f>
        <v>0.51075362604005192</v>
      </c>
      <c r="AG16" s="14">
        <f>INPUT!I34</f>
        <v>-6.1899999999999997E-2</v>
      </c>
    </row>
    <row r="17" spans="1:33" ht="13" x14ac:dyDescent="0.3">
      <c r="A17" s="23" t="s">
        <v>124</v>
      </c>
      <c r="B17" s="23" t="s">
        <v>160</v>
      </c>
      <c r="C17" s="23" t="s">
        <v>123</v>
      </c>
      <c r="D17" s="13"/>
      <c r="E17" s="13"/>
      <c r="F17" s="13"/>
      <c r="G17" s="76"/>
      <c r="H17" s="13" t="s">
        <v>24</v>
      </c>
      <c r="I17" s="14" t="s">
        <v>25</v>
      </c>
      <c r="J17" s="15"/>
      <c r="K17" s="15"/>
      <c r="L17" s="16"/>
      <c r="M17" s="13" t="s">
        <v>24</v>
      </c>
      <c r="N17" s="13" t="s">
        <v>24</v>
      </c>
      <c r="O17" s="14" t="s">
        <v>25</v>
      </c>
      <c r="P17" s="77"/>
      <c r="Q17" s="77" t="s">
        <v>143</v>
      </c>
      <c r="R17" s="77" t="s">
        <v>25</v>
      </c>
      <c r="W17" s="32" t="s">
        <v>31</v>
      </c>
      <c r="X17" s="33" t="s">
        <v>31</v>
      </c>
      <c r="Y17" s="52" t="s">
        <v>31</v>
      </c>
      <c r="Z17" s="51" t="s">
        <v>21</v>
      </c>
      <c r="AA17" s="27"/>
      <c r="AB17" s="32" t="s">
        <v>31</v>
      </c>
      <c r="AC17" s="33" t="s">
        <v>31</v>
      </c>
      <c r="AD17" s="52" t="s">
        <v>31</v>
      </c>
      <c r="AE17" s="51" t="s">
        <v>21</v>
      </c>
      <c r="AF17" s="118" t="s">
        <v>147</v>
      </c>
      <c r="AG17" s="118" t="s">
        <v>147</v>
      </c>
    </row>
    <row r="18" spans="1:33" ht="13" x14ac:dyDescent="0.3">
      <c r="A18" s="139"/>
      <c r="B18" s="139"/>
      <c r="C18" s="139"/>
      <c r="D18" s="71"/>
      <c r="E18" s="71"/>
      <c r="F18" s="71"/>
      <c r="G18" s="119"/>
      <c r="H18" s="116" t="str">
        <f>("[ "&amp;F13&amp;" - ("&amp;G13&amp;" + "&amp;E13&amp;") ]")</f>
        <v>[ B - (C + A) ]</v>
      </c>
      <c r="I18" s="116" t="str">
        <f>("[ "&amp;H13&amp;" / "&amp;E13&amp;" ]")</f>
        <v>[ D / A ]</v>
      </c>
      <c r="J18" s="117"/>
      <c r="K18" s="117"/>
      <c r="L18" s="117"/>
      <c r="M18" s="116" t="str">
        <f>("["&amp;E13&amp;"+"&amp;G13&amp;"+"&amp;$J$13&amp;"+"&amp;$K$13&amp;"+"&amp;$L$13&amp;"]")</f>
        <v>[A+C+F+G+H]</v>
      </c>
      <c r="N18" s="116" t="str">
        <f>("["&amp;F13&amp;"+"&amp;J13&amp;"+"&amp;K13&amp;"+"&amp;L13&amp;"]")</f>
        <v>[B+F+G+H]</v>
      </c>
      <c r="O18" s="119" t="str">
        <f>("[("&amp;N13&amp;" - "&amp;M13&amp;") / "&amp;M13&amp;"]")</f>
        <v>[(J - I) / I]</v>
      </c>
      <c r="P18" s="119"/>
      <c r="Q18" s="119" t="s">
        <v>145</v>
      </c>
      <c r="R18" s="119" t="s">
        <v>146</v>
      </c>
      <c r="W18" s="14"/>
      <c r="X18" s="20">
        <f>+INPUT!$I$9</f>
        <v>0.29920000000000002</v>
      </c>
      <c r="Y18" s="20">
        <f>+INPUT!$I$12</f>
        <v>10.8978</v>
      </c>
      <c r="Z18" s="14"/>
      <c r="AA18" s="27"/>
      <c r="AB18" s="14"/>
      <c r="AC18" s="20">
        <f>+INPUT!$I$27</f>
        <v>0.31</v>
      </c>
      <c r="AD18" s="20">
        <f>+INPUT!$I$30</f>
        <v>10.89</v>
      </c>
      <c r="AE18" s="14"/>
      <c r="AF18" s="14"/>
      <c r="AG18" s="14"/>
    </row>
    <row r="19" spans="1:33" ht="13" x14ac:dyDescent="0.3">
      <c r="A19" s="23"/>
      <c r="C19" s="23"/>
      <c r="D19" s="13"/>
      <c r="E19" s="13"/>
      <c r="F19" s="13"/>
      <c r="G19" s="13"/>
      <c r="I19" s="13"/>
      <c r="J19" s="13"/>
      <c r="K19" s="13"/>
      <c r="L19" s="13"/>
      <c r="M19" s="14"/>
      <c r="N19" s="14"/>
      <c r="O19" s="14"/>
      <c r="P19" s="14"/>
      <c r="Q19" s="14"/>
      <c r="R19" s="14"/>
      <c r="W19" s="14"/>
      <c r="X19" s="14" t="s">
        <v>94</v>
      </c>
      <c r="Y19" s="13" t="s">
        <v>88</v>
      </c>
      <c r="Z19" s="14"/>
      <c r="AA19" s="27"/>
      <c r="AB19" s="14"/>
      <c r="AC19" s="14" t="s">
        <v>94</v>
      </c>
      <c r="AD19" s="13" t="s">
        <v>88</v>
      </c>
      <c r="AE19" s="14"/>
      <c r="AF19" s="14"/>
      <c r="AG19" s="14"/>
    </row>
    <row r="20" spans="1:33" x14ac:dyDescent="0.25">
      <c r="A20" s="44">
        <v>100</v>
      </c>
      <c r="B20" s="140">
        <v>0.3</v>
      </c>
      <c r="C20" s="44">
        <f>A20*(365.25/12)*B20</f>
        <v>913.125</v>
      </c>
      <c r="E20" s="28">
        <f>+Z20</f>
        <v>2112.9899999999998</v>
      </c>
      <c r="F20" s="28">
        <f>+AE20</f>
        <v>2122.0699999999997</v>
      </c>
      <c r="G20" s="28">
        <f>AF20</f>
        <v>466.38</v>
      </c>
      <c r="H20" s="28">
        <f>+F20-(G20+E20)</f>
        <v>-457.30000000000018</v>
      </c>
      <c r="I20" s="29">
        <f>ROUND(+H20/E20,4)</f>
        <v>-0.21640000000000001</v>
      </c>
      <c r="J20" s="28">
        <f>ROUND($C20*$X$10,2)</f>
        <v>2962.81</v>
      </c>
      <c r="K20" s="28">
        <f>ROUND($C20*$X$11,2)</f>
        <v>0</v>
      </c>
      <c r="L20" s="28">
        <f>ROUND($C20*$X$12,2)</f>
        <v>218.58</v>
      </c>
      <c r="M20" s="28">
        <f>+E20+G20+J20+K20+L20</f>
        <v>5760.76</v>
      </c>
      <c r="N20" s="28">
        <f>+F20+J20+K20+L20</f>
        <v>5303.4599999999991</v>
      </c>
      <c r="O20" s="29">
        <f>ROUND((N20-M20)/M20,4)</f>
        <v>-7.9399999999999998E-2</v>
      </c>
      <c r="P20" s="28">
        <f>AG20</f>
        <v>-56.52</v>
      </c>
      <c r="Q20" s="28">
        <f>N20+P20</f>
        <v>5246.9399999999987</v>
      </c>
      <c r="R20" s="29">
        <f>ROUND((Q20-M20)/M20,4)</f>
        <v>-8.9200000000000002E-2</v>
      </c>
      <c r="W20" s="30">
        <f>+INPUT!$I$7</f>
        <v>750</v>
      </c>
      <c r="X20" s="30">
        <f>ROUND($X$18*$C20,2)</f>
        <v>273.20999999999998</v>
      </c>
      <c r="Y20" s="30">
        <f>ROUND($Y$18*$A$20,2)</f>
        <v>1089.78</v>
      </c>
      <c r="Z20" s="30">
        <f>SUM(W20:Y20)</f>
        <v>2112.9899999999998</v>
      </c>
      <c r="AB20" s="30">
        <f>+INPUT!$I$24</f>
        <v>750</v>
      </c>
      <c r="AC20" s="30">
        <f>ROUND($AC$18*$C20,2)</f>
        <v>283.07</v>
      </c>
      <c r="AD20" s="30">
        <f>ROUND($AD$18*$A$20,2)</f>
        <v>1089</v>
      </c>
      <c r="AE20" s="30">
        <f>SUM(AB20:AD20)</f>
        <v>2122.0699999999997</v>
      </c>
      <c r="AF20" s="30">
        <f>ROUND($AF$16*C20,2)</f>
        <v>466.38</v>
      </c>
      <c r="AG20" s="30">
        <f>ROUND($AG$16*C20,2)</f>
        <v>-56.52</v>
      </c>
    </row>
    <row r="21" spans="1:33" x14ac:dyDescent="0.25">
      <c r="A21" s="44"/>
      <c r="B21" s="140">
        <v>0.5</v>
      </c>
      <c r="C21" s="44">
        <f>A20*(365.25/12)*B21</f>
        <v>1521.875</v>
      </c>
      <c r="E21" s="28">
        <f t="shared" ref="E21:E38" si="0">+Z21</f>
        <v>2295.13</v>
      </c>
      <c r="F21" s="28">
        <f t="shared" ref="F21:F38" si="1">+AE21</f>
        <v>2310.7799999999997</v>
      </c>
      <c r="G21" s="28">
        <f t="shared" ref="G21:G38" si="2">AF21</f>
        <v>777.3</v>
      </c>
      <c r="H21" s="28">
        <f t="shared" ref="H21:H38" si="3">+F21-(G21+E21)</f>
        <v>-761.65000000000055</v>
      </c>
      <c r="I21" s="29">
        <f t="shared" ref="I21:I38" si="4">ROUND(+H21/E21,4)</f>
        <v>-0.33189999999999997</v>
      </c>
      <c r="J21" s="28">
        <f t="shared" ref="J21:J38" si="5">ROUND($C21*$X$10,2)</f>
        <v>4938.01</v>
      </c>
      <c r="K21" s="28">
        <f t="shared" ref="K21:K38" si="6">ROUND($C21*$X$11,2)</f>
        <v>0</v>
      </c>
      <c r="L21" s="28">
        <f t="shared" ref="L21:L38" si="7">ROUND($C21*$X$12,2)</f>
        <v>364.31</v>
      </c>
      <c r="M21" s="28">
        <f t="shared" ref="M21:M38" si="8">+E21+G21+J21+K21+L21</f>
        <v>8374.75</v>
      </c>
      <c r="N21" s="28">
        <f t="shared" ref="N21:N38" si="9">+F21+J21+K21+L21</f>
        <v>7613.1</v>
      </c>
      <c r="O21" s="29">
        <f t="shared" ref="O21:O38" si="10">ROUND((N21-M21)/M21,4)</f>
        <v>-9.0899999999999995E-2</v>
      </c>
      <c r="P21" s="28">
        <f t="shared" ref="P21:P38" si="11">AG21</f>
        <v>-94.2</v>
      </c>
      <c r="Q21" s="28">
        <f t="shared" ref="Q21:Q38" si="12">N21+P21</f>
        <v>7518.9000000000005</v>
      </c>
      <c r="R21" s="29">
        <f t="shared" ref="R21:R38" si="13">ROUND((Q21-M21)/M21,4)</f>
        <v>-0.1022</v>
      </c>
      <c r="W21" s="30">
        <f>$W$20</f>
        <v>750</v>
      </c>
      <c r="X21" s="30">
        <f t="shared" ref="X21:X38" si="14">ROUND($X$18*$C21,2)</f>
        <v>455.35</v>
      </c>
      <c r="Y21" s="30">
        <f t="shared" ref="Y21:Y22" si="15">ROUND($Y$18*$A$20,2)</f>
        <v>1089.78</v>
      </c>
      <c r="Z21" s="30">
        <f t="shared" ref="Z21:Z38" si="16">SUM(W21:Y21)</f>
        <v>2295.13</v>
      </c>
      <c r="AB21" s="30">
        <f>$AB$20</f>
        <v>750</v>
      </c>
      <c r="AC21" s="30">
        <f t="shared" ref="AC21:AC38" si="17">ROUND($AC$18*$C21,2)</f>
        <v>471.78</v>
      </c>
      <c r="AD21" s="30">
        <f t="shared" ref="AD21:AD22" si="18">ROUND($AD$18*$A$20,2)</f>
        <v>1089</v>
      </c>
      <c r="AE21" s="30">
        <f t="shared" ref="AE21:AE38" si="19">SUM(AB21:AD21)</f>
        <v>2310.7799999999997</v>
      </c>
      <c r="AF21" s="30">
        <f t="shared" ref="AF21:AF38" si="20">ROUND($AF$16*C21,2)</f>
        <v>777.3</v>
      </c>
      <c r="AG21" s="30">
        <f t="shared" ref="AG21:AG38" si="21">ROUND($AG$16*C21,2)</f>
        <v>-94.2</v>
      </c>
    </row>
    <row r="22" spans="1:33" x14ac:dyDescent="0.25">
      <c r="A22" s="44"/>
      <c r="B22" s="140">
        <v>1</v>
      </c>
      <c r="C22" s="44">
        <f>A20*(365.25/12)*B22</f>
        <v>3043.75</v>
      </c>
      <c r="E22" s="28">
        <f t="shared" si="0"/>
        <v>2750.4700000000003</v>
      </c>
      <c r="F22" s="28">
        <f t="shared" si="1"/>
        <v>2782.56</v>
      </c>
      <c r="G22" s="28">
        <f t="shared" si="2"/>
        <v>1554.61</v>
      </c>
      <c r="H22" s="28">
        <f t="shared" si="3"/>
        <v>-1522.52</v>
      </c>
      <c r="I22" s="29">
        <f t="shared" si="4"/>
        <v>-0.55349999999999999</v>
      </c>
      <c r="J22" s="28">
        <f t="shared" si="5"/>
        <v>9876.02</v>
      </c>
      <c r="K22" s="28">
        <f t="shared" si="6"/>
        <v>0</v>
      </c>
      <c r="L22" s="28">
        <f t="shared" si="7"/>
        <v>728.61</v>
      </c>
      <c r="M22" s="28">
        <f t="shared" si="8"/>
        <v>14909.710000000001</v>
      </c>
      <c r="N22" s="28">
        <f t="shared" si="9"/>
        <v>13387.19</v>
      </c>
      <c r="O22" s="29">
        <f t="shared" si="10"/>
        <v>-0.1021</v>
      </c>
      <c r="P22" s="28">
        <f t="shared" si="11"/>
        <v>-188.41</v>
      </c>
      <c r="Q22" s="28">
        <f t="shared" si="12"/>
        <v>13198.78</v>
      </c>
      <c r="R22" s="29">
        <f t="shared" si="13"/>
        <v>-0.1148</v>
      </c>
      <c r="W22" s="30">
        <f t="shared" ref="W22:W38" si="22">$W$20</f>
        <v>750</v>
      </c>
      <c r="X22" s="30">
        <f t="shared" si="14"/>
        <v>910.69</v>
      </c>
      <c r="Y22" s="30">
        <f t="shared" si="15"/>
        <v>1089.78</v>
      </c>
      <c r="Z22" s="30">
        <f t="shared" si="16"/>
        <v>2750.4700000000003</v>
      </c>
      <c r="AB22" s="30">
        <f t="shared" ref="AB22:AB38" si="23">$AB$20</f>
        <v>750</v>
      </c>
      <c r="AC22" s="30">
        <f t="shared" si="17"/>
        <v>943.56</v>
      </c>
      <c r="AD22" s="30">
        <f t="shared" si="18"/>
        <v>1089</v>
      </c>
      <c r="AE22" s="30">
        <f t="shared" si="19"/>
        <v>2782.56</v>
      </c>
      <c r="AF22" s="30">
        <f t="shared" si="20"/>
        <v>1554.61</v>
      </c>
      <c r="AG22" s="30">
        <f t="shared" si="21"/>
        <v>-188.41</v>
      </c>
    </row>
    <row r="23" spans="1:33" x14ac:dyDescent="0.25">
      <c r="A23" s="44"/>
      <c r="C23" s="44"/>
      <c r="E23" s="28"/>
      <c r="F23" s="28"/>
      <c r="G23" s="28"/>
      <c r="H23" s="28"/>
      <c r="I23" s="29"/>
      <c r="J23" s="28"/>
      <c r="K23" s="28"/>
      <c r="L23" s="28"/>
      <c r="M23" s="28"/>
      <c r="N23" s="28"/>
      <c r="O23" s="29"/>
      <c r="P23" s="28"/>
      <c r="Q23" s="28"/>
      <c r="R23" s="29"/>
      <c r="W23" s="30"/>
      <c r="X23" s="30"/>
      <c r="Y23" s="30"/>
      <c r="Z23" s="30"/>
      <c r="AB23" s="30"/>
      <c r="AC23" s="30"/>
      <c r="AD23" s="30"/>
      <c r="AE23" s="30"/>
      <c r="AF23" s="30"/>
      <c r="AG23" s="30"/>
    </row>
    <row r="24" spans="1:33" x14ac:dyDescent="0.25">
      <c r="A24" s="44">
        <v>500</v>
      </c>
      <c r="B24" s="140">
        <v>0.3</v>
      </c>
      <c r="C24" s="44">
        <f>A24*(365.25/12)*B24</f>
        <v>4565.625</v>
      </c>
      <c r="E24" s="28">
        <f t="shared" si="0"/>
        <v>7564.94</v>
      </c>
      <c r="F24" s="28">
        <f t="shared" si="1"/>
        <v>7610.34</v>
      </c>
      <c r="G24" s="28">
        <f t="shared" si="2"/>
        <v>2331.91</v>
      </c>
      <c r="H24" s="28">
        <f t="shared" si="3"/>
        <v>-2286.5099999999984</v>
      </c>
      <c r="I24" s="29">
        <f t="shared" si="4"/>
        <v>-0.30230000000000001</v>
      </c>
      <c r="J24" s="28">
        <f t="shared" si="5"/>
        <v>14814.04</v>
      </c>
      <c r="K24" s="28">
        <f t="shared" si="6"/>
        <v>0</v>
      </c>
      <c r="L24" s="28">
        <f t="shared" si="7"/>
        <v>1092.92</v>
      </c>
      <c r="M24" s="28">
        <f t="shared" si="8"/>
        <v>25803.809999999998</v>
      </c>
      <c r="N24" s="28">
        <f t="shared" si="9"/>
        <v>23517.300000000003</v>
      </c>
      <c r="O24" s="29">
        <f t="shared" si="10"/>
        <v>-8.8599999999999998E-2</v>
      </c>
      <c r="P24" s="28">
        <f t="shared" si="11"/>
        <v>-282.61</v>
      </c>
      <c r="Q24" s="28">
        <f t="shared" si="12"/>
        <v>23234.690000000002</v>
      </c>
      <c r="R24" s="29">
        <f t="shared" si="13"/>
        <v>-9.9599999999999994E-2</v>
      </c>
      <c r="W24" s="30">
        <f t="shared" si="22"/>
        <v>750</v>
      </c>
      <c r="X24" s="30">
        <f t="shared" si="14"/>
        <v>1366.04</v>
      </c>
      <c r="Y24" s="30">
        <f>ROUND($Y$18*$A$24,2)</f>
        <v>5448.9</v>
      </c>
      <c r="Z24" s="30">
        <f t="shared" si="16"/>
        <v>7564.94</v>
      </c>
      <c r="AB24" s="30">
        <f t="shared" si="23"/>
        <v>750</v>
      </c>
      <c r="AC24" s="30">
        <f t="shared" si="17"/>
        <v>1415.34</v>
      </c>
      <c r="AD24" s="30">
        <f>ROUND($AD$18*$A$24,2)</f>
        <v>5445</v>
      </c>
      <c r="AE24" s="30">
        <f t="shared" si="19"/>
        <v>7610.34</v>
      </c>
      <c r="AF24" s="30">
        <f t="shared" si="20"/>
        <v>2331.91</v>
      </c>
      <c r="AG24" s="30">
        <f t="shared" si="21"/>
        <v>-282.61</v>
      </c>
    </row>
    <row r="25" spans="1:33" x14ac:dyDescent="0.25">
      <c r="A25" s="44"/>
      <c r="B25" s="140">
        <v>0.5</v>
      </c>
      <c r="C25" s="44">
        <f>A24*(365.25/12)*B25</f>
        <v>7609.375</v>
      </c>
      <c r="E25" s="28">
        <f t="shared" si="0"/>
        <v>8475.6299999999992</v>
      </c>
      <c r="F25" s="28">
        <f t="shared" si="1"/>
        <v>8553.91</v>
      </c>
      <c r="G25" s="28">
        <f t="shared" si="2"/>
        <v>3886.52</v>
      </c>
      <c r="H25" s="28">
        <f t="shared" si="3"/>
        <v>-3808.24</v>
      </c>
      <c r="I25" s="29">
        <f t="shared" si="4"/>
        <v>-0.44929999999999998</v>
      </c>
      <c r="J25" s="28">
        <f t="shared" si="5"/>
        <v>24690.06</v>
      </c>
      <c r="K25" s="28">
        <f t="shared" si="6"/>
        <v>0</v>
      </c>
      <c r="L25" s="28">
        <f t="shared" si="7"/>
        <v>1821.53</v>
      </c>
      <c r="M25" s="28">
        <f t="shared" si="8"/>
        <v>38873.74</v>
      </c>
      <c r="N25" s="28">
        <f t="shared" si="9"/>
        <v>35065.5</v>
      </c>
      <c r="O25" s="29">
        <f t="shared" si="10"/>
        <v>-9.8000000000000004E-2</v>
      </c>
      <c r="P25" s="28">
        <f t="shared" si="11"/>
        <v>-471.02</v>
      </c>
      <c r="Q25" s="28">
        <f t="shared" si="12"/>
        <v>34594.480000000003</v>
      </c>
      <c r="R25" s="29">
        <f t="shared" si="13"/>
        <v>-0.1101</v>
      </c>
      <c r="W25" s="30">
        <f t="shared" si="22"/>
        <v>750</v>
      </c>
      <c r="X25" s="30">
        <f t="shared" si="14"/>
        <v>2276.73</v>
      </c>
      <c r="Y25" s="30">
        <f t="shared" ref="Y25:Y26" si="24">ROUND($Y$18*$A$24,2)</f>
        <v>5448.9</v>
      </c>
      <c r="Z25" s="30">
        <f t="shared" si="16"/>
        <v>8475.6299999999992</v>
      </c>
      <c r="AB25" s="30">
        <f t="shared" si="23"/>
        <v>750</v>
      </c>
      <c r="AC25" s="30">
        <f t="shared" si="17"/>
        <v>2358.91</v>
      </c>
      <c r="AD25" s="30">
        <f t="shared" ref="AD25:AD26" si="25">ROUND($AD$18*$A$24,2)</f>
        <v>5445</v>
      </c>
      <c r="AE25" s="30">
        <f t="shared" si="19"/>
        <v>8553.91</v>
      </c>
      <c r="AF25" s="30">
        <f t="shared" si="20"/>
        <v>3886.52</v>
      </c>
      <c r="AG25" s="30">
        <f t="shared" si="21"/>
        <v>-471.02</v>
      </c>
    </row>
    <row r="26" spans="1:33" x14ac:dyDescent="0.25">
      <c r="A26" s="44"/>
      <c r="B26" s="140">
        <v>1</v>
      </c>
      <c r="C26" s="44">
        <f>A24*(365.25/12)*B26</f>
        <v>15218.75</v>
      </c>
      <c r="E26" s="28">
        <f t="shared" si="0"/>
        <v>10752.349999999999</v>
      </c>
      <c r="F26" s="28">
        <f t="shared" si="1"/>
        <v>10912.810000000001</v>
      </c>
      <c r="G26" s="28">
        <f t="shared" si="2"/>
        <v>7773.03</v>
      </c>
      <c r="H26" s="28">
        <f t="shared" si="3"/>
        <v>-7612.5699999999961</v>
      </c>
      <c r="I26" s="29">
        <f t="shared" si="4"/>
        <v>-0.70799999999999996</v>
      </c>
      <c r="J26" s="28">
        <f t="shared" si="5"/>
        <v>49380.12</v>
      </c>
      <c r="K26" s="28">
        <f t="shared" si="6"/>
        <v>0</v>
      </c>
      <c r="L26" s="28">
        <f t="shared" si="7"/>
        <v>3643.06</v>
      </c>
      <c r="M26" s="28">
        <f t="shared" si="8"/>
        <v>71548.56</v>
      </c>
      <c r="N26" s="28">
        <f t="shared" si="9"/>
        <v>63935.990000000005</v>
      </c>
      <c r="O26" s="29">
        <f t="shared" si="10"/>
        <v>-0.10639999999999999</v>
      </c>
      <c r="P26" s="28">
        <f t="shared" si="11"/>
        <v>-942.04</v>
      </c>
      <c r="Q26" s="28">
        <f t="shared" si="12"/>
        <v>62993.950000000004</v>
      </c>
      <c r="R26" s="29">
        <f t="shared" si="13"/>
        <v>-0.1196</v>
      </c>
      <c r="W26" s="30">
        <f t="shared" si="22"/>
        <v>750</v>
      </c>
      <c r="X26" s="30">
        <f t="shared" si="14"/>
        <v>4553.45</v>
      </c>
      <c r="Y26" s="30">
        <f t="shared" si="24"/>
        <v>5448.9</v>
      </c>
      <c r="Z26" s="30">
        <f t="shared" si="16"/>
        <v>10752.349999999999</v>
      </c>
      <c r="AB26" s="30">
        <f t="shared" si="23"/>
        <v>750</v>
      </c>
      <c r="AC26" s="30">
        <f t="shared" si="17"/>
        <v>4717.8100000000004</v>
      </c>
      <c r="AD26" s="30">
        <f t="shared" si="25"/>
        <v>5445</v>
      </c>
      <c r="AE26" s="30">
        <f t="shared" si="19"/>
        <v>10912.810000000001</v>
      </c>
      <c r="AF26" s="30">
        <f t="shared" si="20"/>
        <v>7773.03</v>
      </c>
      <c r="AG26" s="30">
        <f t="shared" si="21"/>
        <v>-942.04</v>
      </c>
    </row>
    <row r="27" spans="1:33" x14ac:dyDescent="0.25">
      <c r="A27" s="44"/>
      <c r="C27" s="44"/>
      <c r="E27" s="28"/>
      <c r="F27" s="28"/>
      <c r="G27" s="28"/>
      <c r="H27" s="28"/>
      <c r="I27" s="29"/>
      <c r="J27" s="28"/>
      <c r="K27" s="28"/>
      <c r="L27" s="28"/>
      <c r="M27" s="28"/>
      <c r="N27" s="28"/>
      <c r="O27" s="29"/>
      <c r="P27" s="28"/>
      <c r="Q27" s="28"/>
      <c r="R27" s="29"/>
      <c r="W27" s="30"/>
      <c r="X27" s="30"/>
      <c r="Y27" s="30"/>
      <c r="Z27" s="30"/>
      <c r="AB27" s="30"/>
      <c r="AC27" s="30"/>
      <c r="AD27" s="30"/>
      <c r="AE27" s="30"/>
      <c r="AF27" s="30"/>
      <c r="AG27" s="30"/>
    </row>
    <row r="28" spans="1:33" x14ac:dyDescent="0.25">
      <c r="A28" s="44">
        <v>1000</v>
      </c>
      <c r="B28" s="140">
        <v>0.3</v>
      </c>
      <c r="C28" s="44">
        <f>A28*(365.25/12)*B28</f>
        <v>9131.25</v>
      </c>
      <c r="E28" s="28">
        <f t="shared" si="0"/>
        <v>14379.869999999999</v>
      </c>
      <c r="F28" s="28">
        <f t="shared" si="1"/>
        <v>14470.69</v>
      </c>
      <c r="G28" s="28">
        <f t="shared" si="2"/>
        <v>4663.82</v>
      </c>
      <c r="H28" s="28">
        <f t="shared" si="3"/>
        <v>-4572.9999999999982</v>
      </c>
      <c r="I28" s="29">
        <f t="shared" si="4"/>
        <v>-0.318</v>
      </c>
      <c r="J28" s="28">
        <f t="shared" si="5"/>
        <v>29628.07</v>
      </c>
      <c r="K28" s="28">
        <f t="shared" si="6"/>
        <v>0</v>
      </c>
      <c r="L28" s="28">
        <f t="shared" si="7"/>
        <v>2185.83</v>
      </c>
      <c r="M28" s="28">
        <f t="shared" si="8"/>
        <v>50857.59</v>
      </c>
      <c r="N28" s="28">
        <f t="shared" si="9"/>
        <v>46284.590000000004</v>
      </c>
      <c r="O28" s="29">
        <f t="shared" si="10"/>
        <v>-8.9899999999999994E-2</v>
      </c>
      <c r="P28" s="28">
        <f t="shared" si="11"/>
        <v>-565.22</v>
      </c>
      <c r="Q28" s="28">
        <f t="shared" si="12"/>
        <v>45719.37</v>
      </c>
      <c r="R28" s="29">
        <f t="shared" si="13"/>
        <v>-0.10100000000000001</v>
      </c>
      <c r="W28" s="30">
        <f t="shared" si="22"/>
        <v>750</v>
      </c>
      <c r="X28" s="30">
        <f t="shared" si="14"/>
        <v>2732.07</v>
      </c>
      <c r="Y28" s="30">
        <f>ROUND($Y$18*$A$28,2)</f>
        <v>10897.8</v>
      </c>
      <c r="Z28" s="30">
        <f t="shared" si="16"/>
        <v>14379.869999999999</v>
      </c>
      <c r="AB28" s="30">
        <f t="shared" si="23"/>
        <v>750</v>
      </c>
      <c r="AC28" s="30">
        <f t="shared" si="17"/>
        <v>2830.69</v>
      </c>
      <c r="AD28" s="30">
        <f>ROUND($AD$18*$A$28,2)</f>
        <v>10890</v>
      </c>
      <c r="AE28" s="30">
        <f t="shared" si="19"/>
        <v>14470.69</v>
      </c>
      <c r="AF28" s="30">
        <f t="shared" si="20"/>
        <v>4663.82</v>
      </c>
      <c r="AG28" s="30">
        <f t="shared" si="21"/>
        <v>-565.22</v>
      </c>
    </row>
    <row r="29" spans="1:33" x14ac:dyDescent="0.25">
      <c r="A29" s="44"/>
      <c r="B29" s="140">
        <v>0.5</v>
      </c>
      <c r="C29" s="44">
        <f>A28*(365.25/12)*B29</f>
        <v>15218.75</v>
      </c>
      <c r="E29" s="28">
        <f t="shared" si="0"/>
        <v>16201.25</v>
      </c>
      <c r="F29" s="28">
        <f t="shared" si="1"/>
        <v>16357.810000000001</v>
      </c>
      <c r="G29" s="28">
        <f t="shared" si="2"/>
        <v>7773.03</v>
      </c>
      <c r="H29" s="28">
        <f t="shared" si="3"/>
        <v>-7616.4699999999975</v>
      </c>
      <c r="I29" s="29">
        <f t="shared" si="4"/>
        <v>-0.47010000000000002</v>
      </c>
      <c r="J29" s="28">
        <f t="shared" si="5"/>
        <v>49380.12</v>
      </c>
      <c r="K29" s="28">
        <f t="shared" si="6"/>
        <v>0</v>
      </c>
      <c r="L29" s="28">
        <f t="shared" si="7"/>
        <v>3643.06</v>
      </c>
      <c r="M29" s="28">
        <f t="shared" si="8"/>
        <v>76997.459999999992</v>
      </c>
      <c r="N29" s="28">
        <f t="shared" si="9"/>
        <v>69380.990000000005</v>
      </c>
      <c r="O29" s="29">
        <f t="shared" si="10"/>
        <v>-9.8900000000000002E-2</v>
      </c>
      <c r="P29" s="28">
        <f t="shared" si="11"/>
        <v>-942.04</v>
      </c>
      <c r="Q29" s="28">
        <f t="shared" si="12"/>
        <v>68438.950000000012</v>
      </c>
      <c r="R29" s="29">
        <f t="shared" si="13"/>
        <v>-0.11119999999999999</v>
      </c>
      <c r="W29" s="30">
        <f t="shared" si="22"/>
        <v>750</v>
      </c>
      <c r="X29" s="30">
        <f t="shared" si="14"/>
        <v>4553.45</v>
      </c>
      <c r="Y29" s="30">
        <f t="shared" ref="Y29:Y30" si="26">ROUND($Y$18*$A$28,2)</f>
        <v>10897.8</v>
      </c>
      <c r="Z29" s="30">
        <f t="shared" si="16"/>
        <v>16201.25</v>
      </c>
      <c r="AB29" s="30">
        <f t="shared" si="23"/>
        <v>750</v>
      </c>
      <c r="AC29" s="30">
        <f t="shared" si="17"/>
        <v>4717.8100000000004</v>
      </c>
      <c r="AD29" s="30">
        <f t="shared" ref="AD29:AD30" si="27">ROUND($AD$18*$A$28,2)</f>
        <v>10890</v>
      </c>
      <c r="AE29" s="30">
        <f t="shared" si="19"/>
        <v>16357.810000000001</v>
      </c>
      <c r="AF29" s="30">
        <f t="shared" si="20"/>
        <v>7773.03</v>
      </c>
      <c r="AG29" s="30">
        <f t="shared" si="21"/>
        <v>-942.04</v>
      </c>
    </row>
    <row r="30" spans="1:33" x14ac:dyDescent="0.25">
      <c r="A30" s="44"/>
      <c r="B30" s="140">
        <v>1</v>
      </c>
      <c r="C30" s="44">
        <f>A28*(365.25/12)*B30</f>
        <v>30437.5</v>
      </c>
      <c r="E30" s="28">
        <f t="shared" si="0"/>
        <v>20754.699999999997</v>
      </c>
      <c r="F30" s="28">
        <f t="shared" si="1"/>
        <v>21075.629999999997</v>
      </c>
      <c r="G30" s="28">
        <f t="shared" si="2"/>
        <v>15546.06</v>
      </c>
      <c r="H30" s="28">
        <f t="shared" si="3"/>
        <v>-15225.129999999997</v>
      </c>
      <c r="I30" s="29">
        <f t="shared" si="4"/>
        <v>-0.73360000000000003</v>
      </c>
      <c r="J30" s="28">
        <f t="shared" si="5"/>
        <v>98760.24</v>
      </c>
      <c r="K30" s="28">
        <f t="shared" si="6"/>
        <v>0</v>
      </c>
      <c r="L30" s="28">
        <f t="shared" si="7"/>
        <v>7286.11</v>
      </c>
      <c r="M30" s="28">
        <f t="shared" si="8"/>
        <v>142347.10999999999</v>
      </c>
      <c r="N30" s="28">
        <f t="shared" si="9"/>
        <v>127121.98</v>
      </c>
      <c r="O30" s="29">
        <f t="shared" si="10"/>
        <v>-0.107</v>
      </c>
      <c r="P30" s="28">
        <f t="shared" si="11"/>
        <v>-1884.08</v>
      </c>
      <c r="Q30" s="28">
        <f t="shared" si="12"/>
        <v>125237.9</v>
      </c>
      <c r="R30" s="29">
        <f t="shared" si="13"/>
        <v>-0.1202</v>
      </c>
      <c r="W30" s="30">
        <f t="shared" si="22"/>
        <v>750</v>
      </c>
      <c r="X30" s="30">
        <f t="shared" si="14"/>
        <v>9106.9</v>
      </c>
      <c r="Y30" s="30">
        <f t="shared" si="26"/>
        <v>10897.8</v>
      </c>
      <c r="Z30" s="30">
        <f t="shared" si="16"/>
        <v>20754.699999999997</v>
      </c>
      <c r="AB30" s="30">
        <f t="shared" si="23"/>
        <v>750</v>
      </c>
      <c r="AC30" s="30">
        <f t="shared" si="17"/>
        <v>9435.6299999999992</v>
      </c>
      <c r="AD30" s="30">
        <f t="shared" si="27"/>
        <v>10890</v>
      </c>
      <c r="AE30" s="30">
        <f t="shared" si="19"/>
        <v>21075.629999999997</v>
      </c>
      <c r="AF30" s="30">
        <f t="shared" si="20"/>
        <v>15546.06</v>
      </c>
      <c r="AG30" s="30">
        <f t="shared" si="21"/>
        <v>-1884.08</v>
      </c>
    </row>
    <row r="31" spans="1:33" x14ac:dyDescent="0.25">
      <c r="A31" s="44"/>
      <c r="C31" s="44"/>
      <c r="E31" s="28"/>
      <c r="F31" s="28"/>
      <c r="G31" s="28"/>
      <c r="H31" s="28"/>
      <c r="I31" s="29"/>
      <c r="J31" s="28"/>
      <c r="K31" s="28"/>
      <c r="L31" s="28"/>
      <c r="M31" s="28"/>
      <c r="N31" s="28"/>
      <c r="O31" s="29"/>
      <c r="P31" s="28"/>
      <c r="Q31" s="28"/>
      <c r="R31" s="29"/>
      <c r="W31" s="30"/>
      <c r="X31" s="30"/>
      <c r="Y31" s="30"/>
      <c r="Z31" s="30"/>
      <c r="AB31" s="30"/>
      <c r="AC31" s="30"/>
      <c r="AD31" s="30"/>
      <c r="AE31" s="30"/>
      <c r="AF31" s="30"/>
      <c r="AG31" s="30"/>
    </row>
    <row r="32" spans="1:33" x14ac:dyDescent="0.25">
      <c r="A32" s="44">
        <v>2500</v>
      </c>
      <c r="B32" s="140">
        <v>0.3</v>
      </c>
      <c r="C32" s="44">
        <f>A32*(365.25/12)*B32</f>
        <v>22828.125</v>
      </c>
      <c r="E32" s="28">
        <f t="shared" si="0"/>
        <v>34824.68</v>
      </c>
      <c r="F32" s="28">
        <f t="shared" si="1"/>
        <v>35051.72</v>
      </c>
      <c r="G32" s="28">
        <f t="shared" si="2"/>
        <v>11659.55</v>
      </c>
      <c r="H32" s="28">
        <f t="shared" si="3"/>
        <v>-11432.509999999995</v>
      </c>
      <c r="I32" s="29">
        <f t="shared" si="4"/>
        <v>-0.32829999999999998</v>
      </c>
      <c r="J32" s="28">
        <f t="shared" si="5"/>
        <v>74070.179999999993</v>
      </c>
      <c r="K32" s="28">
        <f t="shared" si="6"/>
        <v>0</v>
      </c>
      <c r="L32" s="28">
        <f t="shared" si="7"/>
        <v>5464.58</v>
      </c>
      <c r="M32" s="28">
        <f t="shared" si="8"/>
        <v>126018.98999999999</v>
      </c>
      <c r="N32" s="28">
        <f t="shared" si="9"/>
        <v>114586.48</v>
      </c>
      <c r="O32" s="29">
        <f t="shared" si="10"/>
        <v>-9.0700000000000003E-2</v>
      </c>
      <c r="P32" s="28">
        <f t="shared" si="11"/>
        <v>-1413.06</v>
      </c>
      <c r="Q32" s="28">
        <f t="shared" si="12"/>
        <v>113173.42</v>
      </c>
      <c r="R32" s="29">
        <f t="shared" si="13"/>
        <v>-0.1019</v>
      </c>
      <c r="W32" s="30">
        <f t="shared" si="22"/>
        <v>750</v>
      </c>
      <c r="X32" s="30">
        <f t="shared" si="14"/>
        <v>6830.18</v>
      </c>
      <c r="Y32" s="30">
        <f>ROUND($Y$18*$A$32,2)</f>
        <v>27244.5</v>
      </c>
      <c r="Z32" s="30">
        <f t="shared" si="16"/>
        <v>34824.68</v>
      </c>
      <c r="AB32" s="30">
        <f t="shared" si="23"/>
        <v>750</v>
      </c>
      <c r="AC32" s="30">
        <f t="shared" si="17"/>
        <v>7076.72</v>
      </c>
      <c r="AD32" s="30">
        <f>ROUND($AD$18*$A$32,2)</f>
        <v>27225</v>
      </c>
      <c r="AE32" s="30">
        <f t="shared" si="19"/>
        <v>35051.72</v>
      </c>
      <c r="AF32" s="30">
        <f t="shared" si="20"/>
        <v>11659.55</v>
      </c>
      <c r="AG32" s="30">
        <f t="shared" si="21"/>
        <v>-1413.06</v>
      </c>
    </row>
    <row r="33" spans="1:33" x14ac:dyDescent="0.25">
      <c r="A33" s="44"/>
      <c r="B33" s="140">
        <v>0.5</v>
      </c>
      <c r="C33" s="44">
        <f>A32*(365.25/12)*B33</f>
        <v>38046.875</v>
      </c>
      <c r="E33" s="28">
        <f t="shared" si="0"/>
        <v>39378.129999999997</v>
      </c>
      <c r="F33" s="28">
        <f t="shared" si="1"/>
        <v>39769.53</v>
      </c>
      <c r="G33" s="28">
        <f t="shared" si="2"/>
        <v>19432.580000000002</v>
      </c>
      <c r="H33" s="28">
        <f t="shared" si="3"/>
        <v>-19041.18</v>
      </c>
      <c r="I33" s="29">
        <f t="shared" si="4"/>
        <v>-0.48349999999999999</v>
      </c>
      <c r="J33" s="28">
        <f t="shared" si="5"/>
        <v>123450.3</v>
      </c>
      <c r="K33" s="28">
        <f t="shared" si="6"/>
        <v>0</v>
      </c>
      <c r="L33" s="28">
        <f t="shared" si="7"/>
        <v>9107.64</v>
      </c>
      <c r="M33" s="28">
        <f t="shared" si="8"/>
        <v>191368.65000000002</v>
      </c>
      <c r="N33" s="28">
        <f t="shared" si="9"/>
        <v>172327.47000000003</v>
      </c>
      <c r="O33" s="29">
        <f t="shared" si="10"/>
        <v>-9.9500000000000005E-2</v>
      </c>
      <c r="P33" s="28">
        <f t="shared" si="11"/>
        <v>-2355.1</v>
      </c>
      <c r="Q33" s="28">
        <f t="shared" si="12"/>
        <v>169972.37000000002</v>
      </c>
      <c r="R33" s="29">
        <f t="shared" si="13"/>
        <v>-0.1118</v>
      </c>
      <c r="W33" s="30">
        <f t="shared" si="22"/>
        <v>750</v>
      </c>
      <c r="X33" s="30">
        <f t="shared" si="14"/>
        <v>11383.63</v>
      </c>
      <c r="Y33" s="30">
        <f t="shared" ref="Y33:Y34" si="28">ROUND($Y$18*$A$32,2)</f>
        <v>27244.5</v>
      </c>
      <c r="Z33" s="30">
        <f t="shared" si="16"/>
        <v>39378.129999999997</v>
      </c>
      <c r="AB33" s="30">
        <f t="shared" si="23"/>
        <v>750</v>
      </c>
      <c r="AC33" s="30">
        <f t="shared" si="17"/>
        <v>11794.53</v>
      </c>
      <c r="AD33" s="30">
        <f t="shared" ref="AD33:AD34" si="29">ROUND($AD$18*$A$32,2)</f>
        <v>27225</v>
      </c>
      <c r="AE33" s="30">
        <f t="shared" si="19"/>
        <v>39769.53</v>
      </c>
      <c r="AF33" s="30">
        <f t="shared" si="20"/>
        <v>19432.580000000002</v>
      </c>
      <c r="AG33" s="30">
        <f t="shared" si="21"/>
        <v>-2355.1</v>
      </c>
    </row>
    <row r="34" spans="1:33" x14ac:dyDescent="0.25">
      <c r="A34" s="44"/>
      <c r="B34" s="140">
        <v>1</v>
      </c>
      <c r="C34" s="44">
        <f>A32*(365.25/12)*B34</f>
        <v>76093.75</v>
      </c>
      <c r="E34" s="28">
        <f t="shared" si="0"/>
        <v>50761.75</v>
      </c>
      <c r="F34" s="28">
        <f t="shared" si="1"/>
        <v>51564.06</v>
      </c>
      <c r="G34" s="28">
        <f t="shared" si="2"/>
        <v>38865.160000000003</v>
      </c>
      <c r="H34" s="28">
        <f t="shared" si="3"/>
        <v>-38062.850000000006</v>
      </c>
      <c r="I34" s="29">
        <f t="shared" si="4"/>
        <v>-0.74980000000000002</v>
      </c>
      <c r="J34" s="28">
        <f t="shared" si="5"/>
        <v>246900.6</v>
      </c>
      <c r="K34" s="28">
        <f t="shared" si="6"/>
        <v>0</v>
      </c>
      <c r="L34" s="28">
        <f t="shared" si="7"/>
        <v>18215.28</v>
      </c>
      <c r="M34" s="28">
        <f t="shared" si="8"/>
        <v>354742.79000000004</v>
      </c>
      <c r="N34" s="28">
        <f t="shared" si="9"/>
        <v>316679.94000000006</v>
      </c>
      <c r="O34" s="29">
        <f t="shared" si="10"/>
        <v>-0.10730000000000001</v>
      </c>
      <c r="P34" s="28">
        <f t="shared" si="11"/>
        <v>-4710.2</v>
      </c>
      <c r="Q34" s="28">
        <f t="shared" si="12"/>
        <v>311969.74000000005</v>
      </c>
      <c r="R34" s="29">
        <f t="shared" si="13"/>
        <v>-0.1206</v>
      </c>
      <c r="W34" s="30">
        <f t="shared" si="22"/>
        <v>750</v>
      </c>
      <c r="X34" s="30">
        <f t="shared" si="14"/>
        <v>22767.25</v>
      </c>
      <c r="Y34" s="30">
        <f t="shared" si="28"/>
        <v>27244.5</v>
      </c>
      <c r="Z34" s="30">
        <f t="shared" si="16"/>
        <v>50761.75</v>
      </c>
      <c r="AB34" s="30">
        <f t="shared" si="23"/>
        <v>750</v>
      </c>
      <c r="AC34" s="30">
        <f t="shared" si="17"/>
        <v>23589.06</v>
      </c>
      <c r="AD34" s="30">
        <f t="shared" si="29"/>
        <v>27225</v>
      </c>
      <c r="AE34" s="30">
        <f t="shared" si="19"/>
        <v>51564.06</v>
      </c>
      <c r="AF34" s="30">
        <f t="shared" si="20"/>
        <v>38865.160000000003</v>
      </c>
      <c r="AG34" s="30">
        <f t="shared" si="21"/>
        <v>-4710.2</v>
      </c>
    </row>
    <row r="35" spans="1:33" x14ac:dyDescent="0.25">
      <c r="A35" s="44"/>
      <c r="C35" s="44"/>
      <c r="E35" s="28"/>
      <c r="F35" s="28"/>
      <c r="G35" s="28"/>
      <c r="H35" s="28"/>
      <c r="I35" s="29"/>
      <c r="J35" s="28"/>
      <c r="K35" s="28"/>
      <c r="L35" s="28"/>
      <c r="M35" s="28"/>
      <c r="N35" s="28"/>
      <c r="O35" s="29"/>
      <c r="P35" s="28"/>
      <c r="Q35" s="28"/>
      <c r="R35" s="29"/>
      <c r="W35" s="30"/>
      <c r="X35" s="30"/>
      <c r="Y35" s="30"/>
      <c r="Z35" s="30"/>
      <c r="AB35" s="30"/>
      <c r="AC35" s="30"/>
      <c r="AD35" s="30"/>
      <c r="AE35" s="30"/>
      <c r="AF35" s="30"/>
      <c r="AG35" s="30"/>
    </row>
    <row r="36" spans="1:33" x14ac:dyDescent="0.25">
      <c r="A36" s="44">
        <v>5000</v>
      </c>
      <c r="B36" s="140">
        <v>0.3</v>
      </c>
      <c r="C36" s="44">
        <f>A36*(365.25/12)*B36</f>
        <v>45656.25</v>
      </c>
      <c r="E36" s="28">
        <f t="shared" si="0"/>
        <v>68899.350000000006</v>
      </c>
      <c r="F36" s="28">
        <f t="shared" si="1"/>
        <v>69353.440000000002</v>
      </c>
      <c r="G36" s="28">
        <f t="shared" si="2"/>
        <v>23319.1</v>
      </c>
      <c r="H36" s="28">
        <f t="shared" si="3"/>
        <v>-22865.010000000009</v>
      </c>
      <c r="I36" s="29">
        <f t="shared" si="4"/>
        <v>-0.33189999999999997</v>
      </c>
      <c r="J36" s="28">
        <f t="shared" si="5"/>
        <v>148140.35999999999</v>
      </c>
      <c r="K36" s="28">
        <f t="shared" si="6"/>
        <v>0</v>
      </c>
      <c r="L36" s="28">
        <f t="shared" si="7"/>
        <v>10929.17</v>
      </c>
      <c r="M36" s="28">
        <f t="shared" si="8"/>
        <v>251287.98</v>
      </c>
      <c r="N36" s="28">
        <f t="shared" si="9"/>
        <v>228422.97</v>
      </c>
      <c r="O36" s="29">
        <f t="shared" si="10"/>
        <v>-9.0999999999999998E-2</v>
      </c>
      <c r="P36" s="28">
        <f t="shared" si="11"/>
        <v>-2826.12</v>
      </c>
      <c r="Q36" s="28">
        <f t="shared" si="12"/>
        <v>225596.85</v>
      </c>
      <c r="R36" s="29">
        <f t="shared" si="13"/>
        <v>-0.1022</v>
      </c>
      <c r="W36" s="30">
        <f t="shared" si="22"/>
        <v>750</v>
      </c>
      <c r="X36" s="30">
        <f t="shared" si="14"/>
        <v>13660.35</v>
      </c>
      <c r="Y36" s="30">
        <f>ROUND($Y$18*$A$36,2)</f>
        <v>54489</v>
      </c>
      <c r="Z36" s="30">
        <f t="shared" si="16"/>
        <v>68899.350000000006</v>
      </c>
      <c r="AB36" s="30">
        <f t="shared" si="23"/>
        <v>750</v>
      </c>
      <c r="AC36" s="30">
        <f t="shared" si="17"/>
        <v>14153.44</v>
      </c>
      <c r="AD36" s="30">
        <f>ROUND($AD$18*$A$36,2)</f>
        <v>54450</v>
      </c>
      <c r="AE36" s="30">
        <f t="shared" si="19"/>
        <v>69353.440000000002</v>
      </c>
      <c r="AF36" s="30">
        <f t="shared" si="20"/>
        <v>23319.1</v>
      </c>
      <c r="AG36" s="30">
        <f t="shared" si="21"/>
        <v>-2826.12</v>
      </c>
    </row>
    <row r="37" spans="1:33" x14ac:dyDescent="0.25">
      <c r="B37" s="140">
        <v>0.5</v>
      </c>
      <c r="C37" s="44">
        <f>A36*(365.25/12)*B37</f>
        <v>76093.75</v>
      </c>
      <c r="E37" s="28">
        <f t="shared" si="0"/>
        <v>78006.25</v>
      </c>
      <c r="F37" s="28">
        <f t="shared" si="1"/>
        <v>78789.06</v>
      </c>
      <c r="G37" s="28">
        <f t="shared" si="2"/>
        <v>38865.160000000003</v>
      </c>
      <c r="H37" s="28">
        <f t="shared" si="3"/>
        <v>-38082.350000000006</v>
      </c>
      <c r="I37" s="29">
        <f t="shared" si="4"/>
        <v>-0.48820000000000002</v>
      </c>
      <c r="J37" s="28">
        <f t="shared" si="5"/>
        <v>246900.6</v>
      </c>
      <c r="K37" s="28">
        <f t="shared" si="6"/>
        <v>0</v>
      </c>
      <c r="L37" s="28">
        <f t="shared" si="7"/>
        <v>18215.28</v>
      </c>
      <c r="M37" s="28">
        <f t="shared" si="8"/>
        <v>381987.29000000004</v>
      </c>
      <c r="N37" s="28">
        <f t="shared" si="9"/>
        <v>343904.94000000006</v>
      </c>
      <c r="O37" s="29">
        <f t="shared" si="10"/>
        <v>-9.9699999999999997E-2</v>
      </c>
      <c r="P37" s="28">
        <f t="shared" si="11"/>
        <v>-4710.2</v>
      </c>
      <c r="Q37" s="28">
        <f t="shared" si="12"/>
        <v>339194.74000000005</v>
      </c>
      <c r="R37" s="29">
        <f t="shared" si="13"/>
        <v>-0.112</v>
      </c>
      <c r="W37" s="30">
        <f t="shared" si="22"/>
        <v>750</v>
      </c>
      <c r="X37" s="30">
        <f t="shared" si="14"/>
        <v>22767.25</v>
      </c>
      <c r="Y37" s="30">
        <f t="shared" ref="Y37:Y38" si="30">ROUND($Y$18*$A$36,2)</f>
        <v>54489</v>
      </c>
      <c r="Z37" s="30">
        <f t="shared" si="16"/>
        <v>78006.25</v>
      </c>
      <c r="AB37" s="30">
        <f t="shared" si="23"/>
        <v>750</v>
      </c>
      <c r="AC37" s="30">
        <f t="shared" si="17"/>
        <v>23589.06</v>
      </c>
      <c r="AD37" s="30">
        <f t="shared" ref="AD37:AD38" si="31">ROUND($AD$18*$A$36,2)</f>
        <v>54450</v>
      </c>
      <c r="AE37" s="30">
        <f t="shared" si="19"/>
        <v>78789.06</v>
      </c>
      <c r="AF37" s="30">
        <f t="shared" si="20"/>
        <v>38865.160000000003</v>
      </c>
      <c r="AG37" s="30">
        <f t="shared" si="21"/>
        <v>-4710.2</v>
      </c>
    </row>
    <row r="38" spans="1:33" x14ac:dyDescent="0.25">
      <c r="B38" s="140">
        <v>1</v>
      </c>
      <c r="C38" s="44">
        <f>A36*(365.25/12)*B38</f>
        <v>152187.5</v>
      </c>
      <c r="E38" s="28">
        <f t="shared" si="0"/>
        <v>100773.5</v>
      </c>
      <c r="F38" s="28">
        <f t="shared" si="1"/>
        <v>102378.13</v>
      </c>
      <c r="G38" s="28">
        <f t="shared" si="2"/>
        <v>77730.320000000007</v>
      </c>
      <c r="H38" s="28">
        <f t="shared" si="3"/>
        <v>-76125.69</v>
      </c>
      <c r="I38" s="29">
        <f t="shared" si="4"/>
        <v>-0.75539999999999996</v>
      </c>
      <c r="J38" s="28">
        <f t="shared" si="5"/>
        <v>493801.21</v>
      </c>
      <c r="K38" s="28">
        <f t="shared" si="6"/>
        <v>0</v>
      </c>
      <c r="L38" s="28">
        <f t="shared" si="7"/>
        <v>36430.57</v>
      </c>
      <c r="M38" s="28">
        <f t="shared" si="8"/>
        <v>708735.6</v>
      </c>
      <c r="N38" s="28">
        <f t="shared" si="9"/>
        <v>632609.91</v>
      </c>
      <c r="O38" s="29">
        <f t="shared" si="10"/>
        <v>-0.1074</v>
      </c>
      <c r="P38" s="28">
        <f t="shared" si="11"/>
        <v>-9420.41</v>
      </c>
      <c r="Q38" s="28">
        <f t="shared" si="12"/>
        <v>623189.5</v>
      </c>
      <c r="R38" s="29">
        <f t="shared" si="13"/>
        <v>-0.1207</v>
      </c>
      <c r="W38" s="30">
        <f t="shared" si="22"/>
        <v>750</v>
      </c>
      <c r="X38" s="30">
        <f t="shared" si="14"/>
        <v>45534.5</v>
      </c>
      <c r="Y38" s="30">
        <f t="shared" si="30"/>
        <v>54489</v>
      </c>
      <c r="Z38" s="30">
        <f t="shared" si="16"/>
        <v>100773.5</v>
      </c>
      <c r="AB38" s="30">
        <f t="shared" si="23"/>
        <v>750</v>
      </c>
      <c r="AC38" s="30">
        <f t="shared" si="17"/>
        <v>47178.13</v>
      </c>
      <c r="AD38" s="30">
        <f t="shared" si="31"/>
        <v>54450</v>
      </c>
      <c r="AE38" s="30">
        <f t="shared" si="19"/>
        <v>102378.13</v>
      </c>
      <c r="AF38" s="30">
        <f t="shared" si="20"/>
        <v>77730.320000000007</v>
      </c>
      <c r="AG38" s="30">
        <f t="shared" si="21"/>
        <v>-9420.41</v>
      </c>
    </row>
    <row r="39" spans="1:33" x14ac:dyDescent="0.25">
      <c r="M39" s="27"/>
      <c r="N39" s="27"/>
      <c r="O39" s="27"/>
      <c r="P39" s="27"/>
      <c r="Q39" s="27"/>
      <c r="R39" s="27"/>
    </row>
    <row r="40" spans="1:33" x14ac:dyDescent="0.25">
      <c r="A40" s="26" t="s">
        <v>85</v>
      </c>
      <c r="E40" s="43"/>
      <c r="F40" s="44"/>
      <c r="G40" s="44"/>
      <c r="M40" s="28"/>
      <c r="N40" s="28"/>
      <c r="O40" s="29"/>
      <c r="P40" s="29"/>
      <c r="Q40" s="29"/>
      <c r="R40" s="29"/>
    </row>
    <row r="41" spans="1:33" x14ac:dyDescent="0.25">
      <c r="A41" s="46" t="str">
        <f>("Forecast Period Average Usage = "&amp;ROUND(0,1)&amp;" Mcf per month")</f>
        <v>Forecast Period Average Usage = 0 Mcf per month</v>
      </c>
      <c r="B41" s="46"/>
      <c r="C41" s="46"/>
      <c r="F41" s="27"/>
      <c r="G41" s="27"/>
      <c r="H41" s="26" t="s">
        <v>163</v>
      </c>
      <c r="I41" s="27"/>
      <c r="J41" s="27"/>
      <c r="K41" s="27"/>
      <c r="L41" s="27"/>
    </row>
    <row r="42" spans="1:33" x14ac:dyDescent="0.25">
      <c r="A42" s="46" t="str">
        <f>("Forecast Period Average Demand = "&amp;0&amp;" Mcf per month")</f>
        <v>Forecast Period Average Demand = 0 Mcf per month</v>
      </c>
      <c r="B42" s="46"/>
      <c r="C42" s="46"/>
      <c r="F42" s="27"/>
      <c r="G42" s="27"/>
      <c r="H42" s="27"/>
      <c r="I42" s="27"/>
      <c r="J42" s="27"/>
      <c r="K42" s="27"/>
      <c r="L42" s="27"/>
    </row>
    <row r="43" spans="1:33" x14ac:dyDescent="0.25">
      <c r="A43" s="47" t="s">
        <v>122</v>
      </c>
      <c r="B43" s="47"/>
      <c r="C43" s="47"/>
    </row>
    <row r="44" spans="1:33" x14ac:dyDescent="0.25">
      <c r="A44" s="47" t="s">
        <v>89</v>
      </c>
    </row>
    <row r="45" spans="1:33" x14ac:dyDescent="0.25">
      <c r="A45" s="60" t="str">
        <f>+'Rate Case Constants'!$C$26</f>
        <v>Calculations may vary from other schedules due to rounding</v>
      </c>
    </row>
  </sheetData>
  <mergeCells count="5">
    <mergeCell ref="J15:L15"/>
    <mergeCell ref="A1:R1"/>
    <mergeCell ref="A2:R2"/>
    <mergeCell ref="A3:R3"/>
    <mergeCell ref="A4:R4"/>
  </mergeCells>
  <printOptions horizontalCentered="1"/>
  <pageMargins left="0.75" right="0.75" top="1.5" bottom="0.5" header="1" footer="0.5"/>
  <pageSetup scale="5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J44"/>
  <sheetViews>
    <sheetView zoomScale="70" zoomScaleNormal="70" zoomScaleSheetLayoutView="80" workbookViewId="0">
      <selection sqref="A1:Q1"/>
    </sheetView>
  </sheetViews>
  <sheetFormatPr defaultColWidth="9.1796875" defaultRowHeight="12.5" x14ac:dyDescent="0.25"/>
  <cols>
    <col min="1" max="1" width="9.26953125" style="26" bestFit="1" customWidth="1"/>
    <col min="2" max="2" width="7.90625" style="26" bestFit="1" customWidth="1"/>
    <col min="3" max="3" width="9.7265625" style="26" customWidth="1"/>
    <col min="4" max="4" width="12" style="26" customWidth="1"/>
    <col min="5" max="5" width="12.7265625" style="26" bestFit="1" customWidth="1"/>
    <col min="6" max="8" width="12" style="26" customWidth="1"/>
    <col min="9" max="9" width="12.26953125" style="26" customWidth="1"/>
    <col min="10" max="11" width="12" style="26" customWidth="1"/>
    <col min="12" max="12" width="12.7265625" style="26" bestFit="1" customWidth="1"/>
    <col min="13" max="13" width="13.1796875" style="26" customWidth="1"/>
    <col min="14" max="15" width="12" style="26" customWidth="1"/>
    <col min="16" max="16" width="12.7265625" style="26" bestFit="1" customWidth="1"/>
    <col min="17" max="17" width="12" style="26" customWidth="1"/>
    <col min="18" max="21" width="4.26953125" style="26" customWidth="1"/>
    <col min="22" max="22" width="9.26953125" style="26" bestFit="1" customWidth="1"/>
    <col min="23" max="23" width="10.81640625" style="26" bestFit="1" customWidth="1"/>
    <col min="24" max="24" width="10.81640625" style="26" customWidth="1"/>
    <col min="25" max="25" width="11.7265625" style="26" customWidth="1"/>
    <col min="26" max="26" width="9.1796875" style="26"/>
    <col min="27" max="27" width="9.26953125" style="26" bestFit="1" customWidth="1"/>
    <col min="28" max="28" width="10.81640625" style="26" bestFit="1" customWidth="1"/>
    <col min="29" max="29" width="10.81640625" style="26" customWidth="1"/>
    <col min="30" max="30" width="11.7265625" style="26" bestFit="1" customWidth="1"/>
    <col min="31" max="31" width="15.54296875" style="26" bestFit="1" customWidth="1"/>
    <col min="32" max="32" width="15.1796875" style="26" bestFit="1" customWidth="1"/>
    <col min="33" max="33" width="12.26953125" style="26" customWidth="1"/>
    <col min="34" max="16384" width="9.1796875" style="26"/>
  </cols>
  <sheetData>
    <row r="1" spans="1:36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36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36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36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W4" s="156"/>
      <c r="X4" s="156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6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36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36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O7" s="74"/>
      <c r="P7" s="74"/>
      <c r="Q7" s="74" t="str">
        <f>+'Rate Case Constants'!C25</f>
        <v>SCHEDULE N (Gas)</v>
      </c>
    </row>
    <row r="8" spans="1:36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75"/>
      <c r="P8" s="75"/>
      <c r="Q8" s="75" t="str">
        <f>+'Rate Case Constants'!I18</f>
        <v>PAGE 11 OF 13</v>
      </c>
    </row>
    <row r="9" spans="1:36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74"/>
      <c r="P9" s="74"/>
      <c r="Q9" s="74" t="str">
        <f>+'Rate Case Constants'!C36</f>
        <v>WITNESS:   R. M. CONROY</v>
      </c>
      <c r="W9" s="26" t="s">
        <v>167</v>
      </c>
    </row>
    <row r="10" spans="1:36" ht="13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85"/>
      <c r="O10" s="85"/>
      <c r="P10" s="85"/>
      <c r="Q10" s="85"/>
      <c r="R10" s="69"/>
      <c r="S10" s="69"/>
      <c r="T10" s="69"/>
      <c r="U10" s="69"/>
      <c r="V10" s="108" t="s">
        <v>26</v>
      </c>
      <c r="W10" s="54">
        <f>+INPUT!$I$50</f>
        <v>3.9248928590182599</v>
      </c>
      <c r="X10" s="1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13" x14ac:dyDescent="0.3">
      <c r="A11" s="80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69"/>
      <c r="S11" s="69"/>
      <c r="T11" s="69"/>
      <c r="U11" s="69"/>
      <c r="V11" s="108" t="s">
        <v>23</v>
      </c>
      <c r="W11" s="54">
        <f>+INPUT!$J$50</f>
        <v>6.8875961907150923E-3</v>
      </c>
      <c r="X11" s="54"/>
      <c r="Y11" s="12"/>
      <c r="Z11" s="12"/>
      <c r="AA11" s="18"/>
      <c r="AB11" s="12"/>
      <c r="AC11" s="12"/>
      <c r="AD11" s="12"/>
      <c r="AE11" s="12"/>
      <c r="AF11" s="12"/>
      <c r="AG11" s="27"/>
      <c r="AH11" s="27"/>
      <c r="AI11" s="27"/>
      <c r="AJ11" s="27"/>
    </row>
    <row r="12" spans="1:36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V12" s="21" t="s">
        <v>27</v>
      </c>
      <c r="W12" s="54">
        <f>INPUT!O44</f>
        <v>0.27481237601145259</v>
      </c>
      <c r="X12" s="50"/>
      <c r="Y12" s="12"/>
      <c r="Z12" s="12"/>
      <c r="AA12" s="12"/>
      <c r="AB12" s="12"/>
      <c r="AC12" s="12"/>
      <c r="AD12" s="12"/>
      <c r="AE12" s="12"/>
      <c r="AF12" s="12"/>
      <c r="AG12" s="27"/>
      <c r="AH12" s="27"/>
      <c r="AI12" s="27"/>
      <c r="AJ12" s="27"/>
    </row>
    <row r="13" spans="1:36" ht="13" x14ac:dyDescent="0.3">
      <c r="A13" s="12"/>
      <c r="B13" s="12"/>
      <c r="C13" s="12"/>
      <c r="D13" s="13" t="s">
        <v>68</v>
      </c>
      <c r="E13" s="14" t="s">
        <v>76</v>
      </c>
      <c r="F13" s="14" t="s">
        <v>69</v>
      </c>
      <c r="G13" s="14" t="s">
        <v>70</v>
      </c>
      <c r="H13" s="13" t="s">
        <v>71</v>
      </c>
      <c r="I13" s="13" t="s">
        <v>72</v>
      </c>
      <c r="J13" s="13" t="s">
        <v>77</v>
      </c>
      <c r="K13" s="14" t="s">
        <v>73</v>
      </c>
      <c r="L13" s="13" t="s">
        <v>74</v>
      </c>
      <c r="M13" s="13" t="s">
        <v>75</v>
      </c>
      <c r="N13" s="13" t="s">
        <v>139</v>
      </c>
      <c r="O13" s="13" t="s">
        <v>140</v>
      </c>
      <c r="P13" s="13" t="s">
        <v>141</v>
      </c>
      <c r="Q13" s="13" t="s">
        <v>142</v>
      </c>
      <c r="V13" s="12"/>
      <c r="W13" s="12"/>
      <c r="X13" s="12"/>
      <c r="Y13" s="12"/>
      <c r="Z13" s="12"/>
      <c r="AG13" s="27"/>
      <c r="AH13" s="27"/>
      <c r="AI13" s="27"/>
      <c r="AJ13" s="27"/>
    </row>
    <row r="14" spans="1:36" ht="13" x14ac:dyDescent="0.3">
      <c r="A14" s="27"/>
      <c r="B14" s="27"/>
      <c r="C14" s="27"/>
      <c r="D14" s="62" t="s">
        <v>92</v>
      </c>
      <c r="E14" s="62" t="s">
        <v>92</v>
      </c>
      <c r="F14" s="62" t="s">
        <v>27</v>
      </c>
      <c r="G14" s="27"/>
      <c r="H14" s="27"/>
      <c r="I14" s="27"/>
      <c r="J14" s="27"/>
      <c r="K14" s="27"/>
      <c r="L14" s="13" t="s">
        <v>18</v>
      </c>
      <c r="M14" s="13" t="s">
        <v>18</v>
      </c>
      <c r="N14" s="27"/>
      <c r="O14" s="13" t="s">
        <v>175</v>
      </c>
      <c r="P14" s="13" t="s">
        <v>18</v>
      </c>
      <c r="Q14" s="13"/>
      <c r="V14" s="19" t="s">
        <v>0</v>
      </c>
      <c r="W14" s="19"/>
      <c r="X14" s="19"/>
      <c r="Y14" s="19"/>
      <c r="Z14" s="27"/>
      <c r="AA14" s="19" t="s">
        <v>17</v>
      </c>
      <c r="AB14" s="19"/>
      <c r="AC14" s="19"/>
      <c r="AD14" s="19"/>
      <c r="AE14" s="137" t="s">
        <v>168</v>
      </c>
      <c r="AF14" s="19"/>
      <c r="AG14" s="27"/>
      <c r="AH14" s="27"/>
      <c r="AI14" s="27"/>
      <c r="AJ14" s="27"/>
    </row>
    <row r="15" spans="1:36" ht="13" x14ac:dyDescent="0.3">
      <c r="A15" s="27"/>
      <c r="B15" s="23" t="s">
        <v>177</v>
      </c>
      <c r="C15" s="27"/>
      <c r="D15" s="13" t="s">
        <v>13</v>
      </c>
      <c r="E15" s="13" t="s">
        <v>19</v>
      </c>
      <c r="F15" s="13" t="s">
        <v>152</v>
      </c>
      <c r="G15" s="13"/>
      <c r="H15" s="13"/>
      <c r="I15" s="148" t="s">
        <v>20</v>
      </c>
      <c r="J15" s="148"/>
      <c r="K15" s="149"/>
      <c r="L15" s="13" t="s">
        <v>13</v>
      </c>
      <c r="M15" s="13" t="s">
        <v>19</v>
      </c>
      <c r="N15" s="13"/>
      <c r="O15" s="13" t="s">
        <v>176</v>
      </c>
      <c r="P15" s="13" t="s">
        <v>19</v>
      </c>
      <c r="Q15" s="13"/>
      <c r="V15" s="14" t="s">
        <v>29</v>
      </c>
      <c r="W15" s="13"/>
      <c r="X15" s="13"/>
      <c r="Y15" s="14"/>
      <c r="Z15" s="27"/>
      <c r="AA15" s="14" t="s">
        <v>29</v>
      </c>
      <c r="AB15" s="13"/>
      <c r="AC15" s="13"/>
      <c r="AD15" s="14"/>
      <c r="AE15" s="14" t="s">
        <v>154</v>
      </c>
      <c r="AF15" s="14" t="s">
        <v>143</v>
      </c>
      <c r="AG15" s="27"/>
      <c r="AH15" s="27"/>
      <c r="AI15" s="27"/>
      <c r="AJ15" s="27"/>
    </row>
    <row r="16" spans="1:36" ht="13" x14ac:dyDescent="0.3">
      <c r="A16" s="23"/>
      <c r="B16" s="23" t="s">
        <v>159</v>
      </c>
      <c r="C16" s="23"/>
      <c r="D16" s="13" t="s">
        <v>21</v>
      </c>
      <c r="E16" s="13" t="s">
        <v>21</v>
      </c>
      <c r="F16" s="13" t="s">
        <v>153</v>
      </c>
      <c r="G16" s="13" t="s">
        <v>22</v>
      </c>
      <c r="H16" s="13" t="s">
        <v>22</v>
      </c>
      <c r="I16" s="13" t="s">
        <v>26</v>
      </c>
      <c r="J16" s="13" t="s">
        <v>23</v>
      </c>
      <c r="K16" s="13" t="s">
        <v>27</v>
      </c>
      <c r="L16" s="13" t="s">
        <v>21</v>
      </c>
      <c r="M16" s="13" t="s">
        <v>21</v>
      </c>
      <c r="N16" s="13" t="s">
        <v>22</v>
      </c>
      <c r="O16" s="13" t="s">
        <v>143</v>
      </c>
      <c r="P16" s="13" t="s">
        <v>144</v>
      </c>
      <c r="Q16" s="13" t="s">
        <v>22</v>
      </c>
      <c r="V16" s="14" t="s">
        <v>30</v>
      </c>
      <c r="W16" s="13" t="s">
        <v>93</v>
      </c>
      <c r="X16" s="13" t="s">
        <v>87</v>
      </c>
      <c r="Y16" s="14" t="s">
        <v>18</v>
      </c>
      <c r="Z16" s="27"/>
      <c r="AA16" s="14" t="s">
        <v>30</v>
      </c>
      <c r="AB16" s="13" t="s">
        <v>93</v>
      </c>
      <c r="AC16" s="13" t="s">
        <v>87</v>
      </c>
      <c r="AD16" s="14" t="s">
        <v>18</v>
      </c>
      <c r="AE16" s="14">
        <f>INPUT!O50</f>
        <v>0.58453588979318905</v>
      </c>
      <c r="AF16" s="14">
        <f>INPUT!J34</f>
        <v>-6.1899999999999997E-2</v>
      </c>
      <c r="AG16" s="17"/>
      <c r="AH16" s="13"/>
      <c r="AI16" s="13"/>
      <c r="AJ16" s="13"/>
    </row>
    <row r="17" spans="1:36" ht="13" x14ac:dyDescent="0.3">
      <c r="A17" s="23" t="s">
        <v>124</v>
      </c>
      <c r="B17" s="23" t="s">
        <v>160</v>
      </c>
      <c r="C17" s="23" t="s">
        <v>123</v>
      </c>
      <c r="D17" s="13"/>
      <c r="E17" s="13"/>
      <c r="F17" s="76"/>
      <c r="G17" s="13" t="s">
        <v>24</v>
      </c>
      <c r="H17" s="14" t="s">
        <v>25</v>
      </c>
      <c r="I17" s="15"/>
      <c r="J17" s="15"/>
      <c r="K17" s="16"/>
      <c r="L17" s="13" t="s">
        <v>24</v>
      </c>
      <c r="M17" s="13" t="s">
        <v>24</v>
      </c>
      <c r="N17" s="14" t="s">
        <v>25</v>
      </c>
      <c r="O17" s="77"/>
      <c r="P17" s="77" t="s">
        <v>143</v>
      </c>
      <c r="Q17" s="77" t="s">
        <v>25</v>
      </c>
      <c r="V17" s="65" t="s">
        <v>31</v>
      </c>
      <c r="W17" s="66" t="s">
        <v>31</v>
      </c>
      <c r="X17" s="66" t="s">
        <v>31</v>
      </c>
      <c r="Y17" s="65" t="s">
        <v>21</v>
      </c>
      <c r="Z17" s="27"/>
      <c r="AA17" s="65" t="s">
        <v>31</v>
      </c>
      <c r="AB17" s="66" t="s">
        <v>31</v>
      </c>
      <c r="AC17" s="66" t="s">
        <v>31</v>
      </c>
      <c r="AD17" s="65" t="s">
        <v>21</v>
      </c>
      <c r="AE17" s="118" t="s">
        <v>147</v>
      </c>
      <c r="AF17" s="118" t="s">
        <v>147</v>
      </c>
      <c r="AG17" s="17"/>
      <c r="AH17" s="13"/>
      <c r="AI17" s="13"/>
      <c r="AJ17" s="13"/>
    </row>
    <row r="18" spans="1:36" ht="13" x14ac:dyDescent="0.3">
      <c r="A18" s="139"/>
      <c r="B18" s="139"/>
      <c r="C18" s="139"/>
      <c r="D18" s="71"/>
      <c r="E18" s="71"/>
      <c r="F18" s="119"/>
      <c r="G18" s="116" t="str">
        <f>("[ "&amp;E13&amp;" - ("&amp;F13&amp;" + "&amp;D13&amp;") ]")</f>
        <v>[ B - (C + A) ]</v>
      </c>
      <c r="H18" s="116" t="str">
        <f>("[ "&amp;G13&amp;" / "&amp;D13&amp;" ]")</f>
        <v>[ D / A ]</v>
      </c>
      <c r="I18" s="117"/>
      <c r="J18" s="117"/>
      <c r="K18" s="117"/>
      <c r="L18" s="116" t="str">
        <f>("["&amp;D13&amp;"+"&amp;F13&amp;"+"&amp;$I$13&amp;"+"&amp;$J$13&amp;"+"&amp;$K$13&amp;"]")</f>
        <v>[A+C+F+G+H]</v>
      </c>
      <c r="M18" s="116" t="str">
        <f>("["&amp;E13&amp;"+"&amp;I13&amp;"+"&amp;J13&amp;"+"&amp;K13&amp;"]")</f>
        <v>[B+F+G+H]</v>
      </c>
      <c r="N18" s="119" t="str">
        <f>("[("&amp;M13&amp;" - "&amp;L13&amp;") / "&amp;L13&amp;"]")</f>
        <v>[(J - I) / I]</v>
      </c>
      <c r="O18" s="119"/>
      <c r="P18" s="119" t="s">
        <v>145</v>
      </c>
      <c r="Q18" s="119" t="s">
        <v>146</v>
      </c>
      <c r="V18" s="14"/>
      <c r="W18" s="20">
        <f>+INPUT!$J$9</f>
        <v>0.36030000000000001</v>
      </c>
      <c r="X18" s="20">
        <f>+INPUT!$J$12</f>
        <v>6.56</v>
      </c>
      <c r="Y18" s="14"/>
      <c r="Z18" s="27"/>
      <c r="AA18" s="14"/>
      <c r="AB18" s="20">
        <f>+INPUT!$J$27</f>
        <v>0.41060000000000002</v>
      </c>
      <c r="AC18" s="20">
        <f>+INPUT!$J$30</f>
        <v>7.54</v>
      </c>
      <c r="AD18" s="14"/>
      <c r="AE18" s="14"/>
      <c r="AF18" s="14"/>
      <c r="AG18" s="17"/>
      <c r="AH18" s="13"/>
      <c r="AI18" s="13"/>
      <c r="AJ18" s="13"/>
    </row>
    <row r="19" spans="1:36" ht="13" x14ac:dyDescent="0.3">
      <c r="A19" s="23"/>
      <c r="C19" s="23"/>
      <c r="D19" s="13"/>
      <c r="E19" s="13"/>
      <c r="F19" s="13"/>
      <c r="G19" s="2"/>
      <c r="H19" s="13"/>
      <c r="I19" s="13"/>
      <c r="J19" s="13"/>
      <c r="K19" s="13"/>
      <c r="L19" s="14"/>
      <c r="M19" s="14"/>
      <c r="N19" s="14"/>
      <c r="O19" s="14"/>
      <c r="P19" s="14"/>
      <c r="Q19" s="14"/>
      <c r="V19" s="14"/>
      <c r="W19" s="14" t="s">
        <v>94</v>
      </c>
      <c r="X19" s="13" t="s">
        <v>88</v>
      </c>
      <c r="Y19" s="14"/>
      <c r="Z19" s="27"/>
      <c r="AA19" s="14"/>
      <c r="AB19" s="14" t="s">
        <v>94</v>
      </c>
      <c r="AC19" s="13" t="s">
        <v>88</v>
      </c>
      <c r="AD19" s="14"/>
      <c r="AE19" s="14"/>
      <c r="AF19" s="14"/>
      <c r="AG19" s="17"/>
      <c r="AH19" s="13"/>
      <c r="AI19" s="13"/>
      <c r="AJ19" s="13"/>
    </row>
    <row r="20" spans="1:36" x14ac:dyDescent="0.25">
      <c r="A20" s="44">
        <v>100</v>
      </c>
      <c r="B20" s="140">
        <v>0.3</v>
      </c>
      <c r="C20" s="44">
        <f>A20*(365.25/12)*B20</f>
        <v>913.125</v>
      </c>
      <c r="D20" s="28">
        <f>+Y20</f>
        <v>1270</v>
      </c>
      <c r="E20" s="28">
        <f>+AD20</f>
        <v>1463.93</v>
      </c>
      <c r="F20" s="96">
        <f>AE20</f>
        <v>533.75</v>
      </c>
      <c r="G20" s="28">
        <f>+E20-(F20+D20)</f>
        <v>-339.81999999999994</v>
      </c>
      <c r="H20" s="29">
        <f>ROUND(G20/D20,4)</f>
        <v>-0.2676</v>
      </c>
      <c r="I20" s="28">
        <f>ROUND($C20*$W$10,2)</f>
        <v>3583.92</v>
      </c>
      <c r="J20" s="28">
        <f>ROUND($C20*$W$11,2)</f>
        <v>6.29</v>
      </c>
      <c r="K20" s="28">
        <f>ROUND($C20*$W$12,2)</f>
        <v>250.94</v>
      </c>
      <c r="L20" s="28">
        <f>+D20+F20+I20+J20+K20</f>
        <v>5644.9</v>
      </c>
      <c r="M20" s="28">
        <f>+E20+I20+J20+K20</f>
        <v>5305.08</v>
      </c>
      <c r="N20" s="29">
        <f>ROUND((M20-L20)/L20,4)</f>
        <v>-6.0199999999999997E-2</v>
      </c>
      <c r="O20" s="28">
        <f>AF20</f>
        <v>-56.52</v>
      </c>
      <c r="P20" s="28">
        <f>M20+O20</f>
        <v>5248.5599999999995</v>
      </c>
      <c r="Q20" s="29">
        <f>ROUND((P20-L20)/L20,4)</f>
        <v>-7.0199999999999999E-2</v>
      </c>
      <c r="V20" s="30">
        <f>+INPUT!$J$5</f>
        <v>285</v>
      </c>
      <c r="W20" s="30">
        <f>ROUND($W$18*$C20,2)</f>
        <v>329</v>
      </c>
      <c r="X20" s="30">
        <f>ROUND($X$18*$A$20,2)</f>
        <v>656</v>
      </c>
      <c r="Y20" s="30">
        <f>SUM(V20:X20)</f>
        <v>1270</v>
      </c>
      <c r="AA20" s="30">
        <f>+INPUT!$J$22</f>
        <v>335</v>
      </c>
      <c r="AB20" s="30">
        <f>ROUND($AB$18*$C20,2)</f>
        <v>374.93</v>
      </c>
      <c r="AC20" s="30">
        <f>ROUND($AC$18*$A$20,2)</f>
        <v>754</v>
      </c>
      <c r="AD20" s="30">
        <f>SUM(AA20:AC20)</f>
        <v>1463.93</v>
      </c>
      <c r="AE20" s="30">
        <f>ROUND($AE$16*C20,2)</f>
        <v>533.75</v>
      </c>
      <c r="AF20" s="30">
        <f>ROUND($AF$16*C20,2)</f>
        <v>-56.52</v>
      </c>
      <c r="AG20" s="63"/>
    </row>
    <row r="21" spans="1:36" x14ac:dyDescent="0.25">
      <c r="A21" s="44"/>
      <c r="B21" s="140">
        <v>0.5</v>
      </c>
      <c r="C21" s="44">
        <f>A20*(365.25/12)*B21</f>
        <v>1521.875</v>
      </c>
      <c r="D21" s="28">
        <f t="shared" ref="D21:D38" si="0">+Y21</f>
        <v>1489.33</v>
      </c>
      <c r="E21" s="28">
        <f t="shared" ref="E21:E38" si="1">+AD21</f>
        <v>1713.88</v>
      </c>
      <c r="F21" s="96">
        <f t="shared" ref="F21:F38" si="2">AE21</f>
        <v>889.59</v>
      </c>
      <c r="G21" s="28">
        <f t="shared" ref="G21:G38" si="3">+E21-(F21+D21)</f>
        <v>-665.04</v>
      </c>
      <c r="H21" s="29">
        <f t="shared" ref="H21:H38" si="4">ROUND(G21/D21,4)</f>
        <v>-0.44650000000000001</v>
      </c>
      <c r="I21" s="28">
        <f t="shared" ref="I21:I38" si="5">ROUND($C21*$W$10,2)</f>
        <v>5973.2</v>
      </c>
      <c r="J21" s="28">
        <f t="shared" ref="J21:J38" si="6">ROUND($C21*$W$11,2)</f>
        <v>10.48</v>
      </c>
      <c r="K21" s="28">
        <f t="shared" ref="K21:K38" si="7">ROUND($C21*$W$12,2)</f>
        <v>418.23</v>
      </c>
      <c r="L21" s="28">
        <f t="shared" ref="L21:L38" si="8">+D21+F21+I21+J21+K21</f>
        <v>8780.8299999999981</v>
      </c>
      <c r="M21" s="28">
        <f t="shared" ref="M21:M38" si="9">+E21+I21+J21+K21</f>
        <v>8115.7899999999991</v>
      </c>
      <c r="N21" s="29">
        <f t="shared" ref="N21:N38" si="10">ROUND((M21-L21)/L21,4)</f>
        <v>-7.5700000000000003E-2</v>
      </c>
      <c r="O21" s="28">
        <f t="shared" ref="O21:O38" si="11">AF21</f>
        <v>-94.2</v>
      </c>
      <c r="P21" s="28">
        <f t="shared" ref="P21:P38" si="12">M21+O21</f>
        <v>8021.5899999999992</v>
      </c>
      <c r="Q21" s="29">
        <f t="shared" ref="Q21:Q38" si="13">ROUND((P21-L21)/L21,4)</f>
        <v>-8.6499999999999994E-2</v>
      </c>
      <c r="V21" s="30">
        <f>$V$20</f>
        <v>285</v>
      </c>
      <c r="W21" s="30">
        <f t="shared" ref="W21:W38" si="14">ROUND($W$18*$C21,2)</f>
        <v>548.33000000000004</v>
      </c>
      <c r="X21" s="30">
        <f t="shared" ref="X21:X22" si="15">ROUND($X$18*$A$20,2)</f>
        <v>656</v>
      </c>
      <c r="Y21" s="30">
        <f t="shared" ref="Y21:Y38" si="16">SUM(V21:X21)</f>
        <v>1489.33</v>
      </c>
      <c r="AA21" s="30">
        <f>$AA$20</f>
        <v>335</v>
      </c>
      <c r="AB21" s="30">
        <f t="shared" ref="AB21:AB38" si="17">ROUND($AB$18*$C21,2)</f>
        <v>624.88</v>
      </c>
      <c r="AC21" s="30">
        <f t="shared" ref="AC21:AC22" si="18">ROUND($AC$18*$A$20,2)</f>
        <v>754</v>
      </c>
      <c r="AD21" s="30">
        <f t="shared" ref="AD21:AD38" si="19">SUM(AA21:AC21)</f>
        <v>1713.88</v>
      </c>
      <c r="AE21" s="30">
        <f t="shared" ref="AE21:AE38" si="20">ROUND($AE$16*C21,2)</f>
        <v>889.59</v>
      </c>
      <c r="AF21" s="30">
        <f t="shared" ref="AF21:AF38" si="21">ROUND($AF$16*C21,2)</f>
        <v>-94.2</v>
      </c>
    </row>
    <row r="22" spans="1:36" x14ac:dyDescent="0.25">
      <c r="A22" s="44"/>
      <c r="B22" s="140">
        <v>1</v>
      </c>
      <c r="C22" s="44">
        <f>A20*(365.25/12)*B22</f>
        <v>3043.75</v>
      </c>
      <c r="D22" s="28">
        <f t="shared" si="0"/>
        <v>2037.66</v>
      </c>
      <c r="E22" s="28">
        <f t="shared" si="1"/>
        <v>2338.7600000000002</v>
      </c>
      <c r="F22" s="96">
        <f t="shared" si="2"/>
        <v>1779.18</v>
      </c>
      <c r="G22" s="28">
        <f t="shared" si="3"/>
        <v>-1478.08</v>
      </c>
      <c r="H22" s="29">
        <f t="shared" si="4"/>
        <v>-0.72540000000000004</v>
      </c>
      <c r="I22" s="28">
        <f t="shared" si="5"/>
        <v>11946.39</v>
      </c>
      <c r="J22" s="28">
        <f t="shared" si="6"/>
        <v>20.96</v>
      </c>
      <c r="K22" s="28">
        <f t="shared" si="7"/>
        <v>836.46</v>
      </c>
      <c r="L22" s="28">
        <f t="shared" si="8"/>
        <v>16620.649999999998</v>
      </c>
      <c r="M22" s="28">
        <f t="shared" si="9"/>
        <v>15142.57</v>
      </c>
      <c r="N22" s="29">
        <f t="shared" si="10"/>
        <v>-8.8900000000000007E-2</v>
      </c>
      <c r="O22" s="28">
        <f t="shared" si="11"/>
        <v>-188.41</v>
      </c>
      <c r="P22" s="28">
        <f t="shared" si="12"/>
        <v>14954.16</v>
      </c>
      <c r="Q22" s="29">
        <f t="shared" si="13"/>
        <v>-0.1003</v>
      </c>
      <c r="V22" s="30">
        <f t="shared" ref="V22:V38" si="22">$V$20</f>
        <v>285</v>
      </c>
      <c r="W22" s="30">
        <f t="shared" si="14"/>
        <v>1096.6600000000001</v>
      </c>
      <c r="X22" s="30">
        <f t="shared" si="15"/>
        <v>656</v>
      </c>
      <c r="Y22" s="30">
        <f t="shared" si="16"/>
        <v>2037.66</v>
      </c>
      <c r="AA22" s="30">
        <f t="shared" ref="AA22:AA38" si="23">$AA$20</f>
        <v>335</v>
      </c>
      <c r="AB22" s="30">
        <f t="shared" si="17"/>
        <v>1249.76</v>
      </c>
      <c r="AC22" s="30">
        <f t="shared" si="18"/>
        <v>754</v>
      </c>
      <c r="AD22" s="30">
        <f t="shared" si="19"/>
        <v>2338.7600000000002</v>
      </c>
      <c r="AE22" s="30">
        <f t="shared" si="20"/>
        <v>1779.18</v>
      </c>
      <c r="AF22" s="30">
        <f t="shared" si="21"/>
        <v>-188.41</v>
      </c>
      <c r="AG22" s="63"/>
    </row>
    <row r="23" spans="1:36" x14ac:dyDescent="0.25">
      <c r="A23" s="44"/>
      <c r="C23" s="44"/>
      <c r="D23" s="28"/>
      <c r="E23" s="28"/>
      <c r="F23" s="96"/>
      <c r="G23" s="28"/>
      <c r="H23" s="29"/>
      <c r="I23" s="28"/>
      <c r="J23" s="28"/>
      <c r="K23" s="28"/>
      <c r="L23" s="28"/>
      <c r="M23" s="28"/>
      <c r="N23" s="29"/>
      <c r="O23" s="28"/>
      <c r="P23" s="28"/>
      <c r="Q23" s="29"/>
      <c r="V23" s="30"/>
      <c r="W23" s="30"/>
      <c r="X23" s="30"/>
      <c r="Y23" s="30"/>
      <c r="AA23" s="30"/>
      <c r="AB23" s="30"/>
      <c r="AC23" s="30"/>
      <c r="AD23" s="30"/>
      <c r="AE23" s="30"/>
      <c r="AF23" s="30"/>
    </row>
    <row r="24" spans="1:36" x14ac:dyDescent="0.25">
      <c r="A24" s="44">
        <v>500</v>
      </c>
      <c r="B24" s="140">
        <v>0.3</v>
      </c>
      <c r="C24" s="44">
        <f>A24*(365.25/12)*B24</f>
        <v>4565.625</v>
      </c>
      <c r="D24" s="28">
        <f t="shared" si="0"/>
        <v>5209.99</v>
      </c>
      <c r="E24" s="28">
        <f t="shared" si="1"/>
        <v>5979.65</v>
      </c>
      <c r="F24" s="96">
        <f t="shared" si="2"/>
        <v>2668.77</v>
      </c>
      <c r="G24" s="28">
        <f t="shared" si="3"/>
        <v>-1899.1100000000006</v>
      </c>
      <c r="H24" s="29">
        <f t="shared" si="4"/>
        <v>-0.36449999999999999</v>
      </c>
      <c r="I24" s="28">
        <f t="shared" si="5"/>
        <v>17919.59</v>
      </c>
      <c r="J24" s="28">
        <f t="shared" si="6"/>
        <v>31.45</v>
      </c>
      <c r="K24" s="28">
        <f t="shared" si="7"/>
        <v>1254.69</v>
      </c>
      <c r="L24" s="28">
        <f t="shared" si="8"/>
        <v>27084.489999999998</v>
      </c>
      <c r="M24" s="28">
        <f t="shared" si="9"/>
        <v>25185.379999999997</v>
      </c>
      <c r="N24" s="29">
        <f t="shared" si="10"/>
        <v>-7.0099999999999996E-2</v>
      </c>
      <c r="O24" s="28">
        <f t="shared" si="11"/>
        <v>-282.61</v>
      </c>
      <c r="P24" s="28">
        <f t="shared" si="12"/>
        <v>24902.769999999997</v>
      </c>
      <c r="Q24" s="29">
        <f t="shared" si="13"/>
        <v>-8.0600000000000005E-2</v>
      </c>
      <c r="V24" s="30">
        <f t="shared" si="22"/>
        <v>285</v>
      </c>
      <c r="W24" s="30">
        <f t="shared" si="14"/>
        <v>1644.99</v>
      </c>
      <c r="X24" s="30">
        <f>ROUND($X$18*$A$24,2)</f>
        <v>3280</v>
      </c>
      <c r="Y24" s="30">
        <f t="shared" si="16"/>
        <v>5209.99</v>
      </c>
      <c r="AA24" s="30">
        <f t="shared" si="23"/>
        <v>335</v>
      </c>
      <c r="AB24" s="30">
        <f t="shared" si="17"/>
        <v>1874.65</v>
      </c>
      <c r="AC24" s="30">
        <f>ROUND($AC$18*$A$24,2)</f>
        <v>3770</v>
      </c>
      <c r="AD24" s="30">
        <f t="shared" si="19"/>
        <v>5979.65</v>
      </c>
      <c r="AE24" s="30">
        <f t="shared" si="20"/>
        <v>2668.77</v>
      </c>
      <c r="AF24" s="30">
        <f t="shared" si="21"/>
        <v>-282.61</v>
      </c>
      <c r="AG24" s="63"/>
    </row>
    <row r="25" spans="1:36" x14ac:dyDescent="0.25">
      <c r="A25" s="44"/>
      <c r="B25" s="140">
        <v>0.5</v>
      </c>
      <c r="C25" s="44">
        <f>A24*(365.25/12)*B25</f>
        <v>7609.375</v>
      </c>
      <c r="D25" s="28">
        <f t="shared" si="0"/>
        <v>6306.66</v>
      </c>
      <c r="E25" s="28">
        <f t="shared" si="1"/>
        <v>7229.41</v>
      </c>
      <c r="F25" s="96">
        <f t="shared" si="2"/>
        <v>4447.95</v>
      </c>
      <c r="G25" s="28">
        <f t="shared" si="3"/>
        <v>-3525.2000000000007</v>
      </c>
      <c r="H25" s="29">
        <f t="shared" si="4"/>
        <v>-0.55900000000000005</v>
      </c>
      <c r="I25" s="28">
        <f t="shared" si="5"/>
        <v>29865.98</v>
      </c>
      <c r="J25" s="28">
        <f t="shared" si="6"/>
        <v>52.41</v>
      </c>
      <c r="K25" s="28">
        <f t="shared" si="7"/>
        <v>2091.15</v>
      </c>
      <c r="L25" s="28">
        <f t="shared" si="8"/>
        <v>42764.15</v>
      </c>
      <c r="M25" s="28">
        <f t="shared" si="9"/>
        <v>39238.950000000004</v>
      </c>
      <c r="N25" s="29">
        <f t="shared" si="10"/>
        <v>-8.2400000000000001E-2</v>
      </c>
      <c r="O25" s="28">
        <f t="shared" si="11"/>
        <v>-471.02</v>
      </c>
      <c r="P25" s="28">
        <f t="shared" si="12"/>
        <v>38767.930000000008</v>
      </c>
      <c r="Q25" s="29">
        <f t="shared" si="13"/>
        <v>-9.3399999999999997E-2</v>
      </c>
      <c r="V25" s="30">
        <f t="shared" si="22"/>
        <v>285</v>
      </c>
      <c r="W25" s="30">
        <f t="shared" si="14"/>
        <v>2741.66</v>
      </c>
      <c r="X25" s="30">
        <f t="shared" ref="X25:X26" si="24">ROUND($X$18*$A$24,2)</f>
        <v>3280</v>
      </c>
      <c r="Y25" s="30">
        <f t="shared" si="16"/>
        <v>6306.66</v>
      </c>
      <c r="AA25" s="30">
        <f t="shared" si="23"/>
        <v>335</v>
      </c>
      <c r="AB25" s="30">
        <f t="shared" si="17"/>
        <v>3124.41</v>
      </c>
      <c r="AC25" s="30">
        <f t="shared" ref="AC25:AC26" si="25">ROUND($AC$18*$A$24,2)</f>
        <v>3770</v>
      </c>
      <c r="AD25" s="30">
        <f t="shared" si="19"/>
        <v>7229.41</v>
      </c>
      <c r="AE25" s="30">
        <f t="shared" si="20"/>
        <v>4447.95</v>
      </c>
      <c r="AF25" s="30">
        <f t="shared" si="21"/>
        <v>-471.02</v>
      </c>
    </row>
    <row r="26" spans="1:36" x14ac:dyDescent="0.25">
      <c r="A26" s="44"/>
      <c r="B26" s="140">
        <v>1</v>
      </c>
      <c r="C26" s="44">
        <f>A24*(365.25/12)*B26</f>
        <v>15218.75</v>
      </c>
      <c r="D26" s="28">
        <f t="shared" si="0"/>
        <v>9048.32</v>
      </c>
      <c r="E26" s="28">
        <f t="shared" si="1"/>
        <v>10353.82</v>
      </c>
      <c r="F26" s="96">
        <f t="shared" si="2"/>
        <v>8895.91</v>
      </c>
      <c r="G26" s="28">
        <f t="shared" si="3"/>
        <v>-7590.41</v>
      </c>
      <c r="H26" s="29">
        <f t="shared" si="4"/>
        <v>-0.83889999999999998</v>
      </c>
      <c r="I26" s="28">
        <f t="shared" si="5"/>
        <v>59731.96</v>
      </c>
      <c r="J26" s="28">
        <f t="shared" si="6"/>
        <v>104.82</v>
      </c>
      <c r="K26" s="28">
        <f t="shared" si="7"/>
        <v>4182.3</v>
      </c>
      <c r="L26" s="28">
        <f t="shared" si="8"/>
        <v>81963.310000000012</v>
      </c>
      <c r="M26" s="28">
        <f t="shared" si="9"/>
        <v>74372.900000000009</v>
      </c>
      <c r="N26" s="29">
        <f t="shared" si="10"/>
        <v>-9.2600000000000002E-2</v>
      </c>
      <c r="O26" s="28">
        <f t="shared" si="11"/>
        <v>-942.04</v>
      </c>
      <c r="P26" s="28">
        <f t="shared" si="12"/>
        <v>73430.860000000015</v>
      </c>
      <c r="Q26" s="29">
        <f t="shared" si="13"/>
        <v>-0.1041</v>
      </c>
      <c r="V26" s="30">
        <f t="shared" si="22"/>
        <v>285</v>
      </c>
      <c r="W26" s="30">
        <f t="shared" si="14"/>
        <v>5483.32</v>
      </c>
      <c r="X26" s="30">
        <f t="shared" si="24"/>
        <v>3280</v>
      </c>
      <c r="Y26" s="30">
        <f t="shared" si="16"/>
        <v>9048.32</v>
      </c>
      <c r="AA26" s="30">
        <f t="shared" si="23"/>
        <v>335</v>
      </c>
      <c r="AB26" s="30">
        <f t="shared" si="17"/>
        <v>6248.82</v>
      </c>
      <c r="AC26" s="30">
        <f t="shared" si="25"/>
        <v>3770</v>
      </c>
      <c r="AD26" s="30">
        <f t="shared" si="19"/>
        <v>10353.82</v>
      </c>
      <c r="AE26" s="30">
        <f t="shared" si="20"/>
        <v>8895.91</v>
      </c>
      <c r="AF26" s="30">
        <f t="shared" si="21"/>
        <v>-942.04</v>
      </c>
      <c r="AG26" s="63"/>
    </row>
    <row r="27" spans="1:36" x14ac:dyDescent="0.25">
      <c r="A27" s="44"/>
      <c r="C27" s="44"/>
      <c r="D27" s="28"/>
      <c r="E27" s="28"/>
      <c r="F27" s="96"/>
      <c r="G27" s="28"/>
      <c r="H27" s="29"/>
      <c r="I27" s="28"/>
      <c r="J27" s="28"/>
      <c r="K27" s="28"/>
      <c r="L27" s="28"/>
      <c r="M27" s="28"/>
      <c r="N27" s="29"/>
      <c r="O27" s="28"/>
      <c r="P27" s="28"/>
      <c r="Q27" s="29"/>
      <c r="V27" s="30"/>
      <c r="W27" s="30"/>
      <c r="X27" s="30"/>
      <c r="Y27" s="30"/>
      <c r="AA27" s="30"/>
      <c r="AB27" s="30"/>
      <c r="AC27" s="30"/>
      <c r="AD27" s="30"/>
      <c r="AE27" s="30"/>
      <c r="AF27" s="30"/>
    </row>
    <row r="28" spans="1:36" x14ac:dyDescent="0.25">
      <c r="A28" s="44">
        <v>1000</v>
      </c>
      <c r="B28" s="140">
        <v>0.3</v>
      </c>
      <c r="C28" s="44">
        <f>A28*(365.25/12)*B28</f>
        <v>9131.25</v>
      </c>
      <c r="D28" s="28">
        <f t="shared" si="0"/>
        <v>10134.99</v>
      </c>
      <c r="E28" s="28">
        <f t="shared" si="1"/>
        <v>11624.29</v>
      </c>
      <c r="F28" s="96">
        <f t="shared" si="2"/>
        <v>5337.54</v>
      </c>
      <c r="G28" s="28">
        <f t="shared" si="3"/>
        <v>-3848.239999999998</v>
      </c>
      <c r="H28" s="29">
        <f t="shared" si="4"/>
        <v>-0.37969999999999998</v>
      </c>
      <c r="I28" s="28">
        <f t="shared" si="5"/>
        <v>35839.18</v>
      </c>
      <c r="J28" s="28">
        <f t="shared" si="6"/>
        <v>62.89</v>
      </c>
      <c r="K28" s="28">
        <f t="shared" si="7"/>
        <v>2509.38</v>
      </c>
      <c r="L28" s="28">
        <f t="shared" si="8"/>
        <v>53883.979999999996</v>
      </c>
      <c r="M28" s="28">
        <f t="shared" si="9"/>
        <v>50035.74</v>
      </c>
      <c r="N28" s="29">
        <f t="shared" si="10"/>
        <v>-7.1400000000000005E-2</v>
      </c>
      <c r="O28" s="28">
        <f t="shared" si="11"/>
        <v>-565.22</v>
      </c>
      <c r="P28" s="28">
        <f t="shared" si="12"/>
        <v>49470.52</v>
      </c>
      <c r="Q28" s="29">
        <f t="shared" si="13"/>
        <v>-8.1900000000000001E-2</v>
      </c>
      <c r="V28" s="30">
        <f t="shared" si="22"/>
        <v>285</v>
      </c>
      <c r="W28" s="30">
        <f t="shared" si="14"/>
        <v>3289.99</v>
      </c>
      <c r="X28" s="30">
        <f>ROUND($X$18*$A$28,2)</f>
        <v>6560</v>
      </c>
      <c r="Y28" s="30">
        <f t="shared" si="16"/>
        <v>10134.99</v>
      </c>
      <c r="AA28" s="30">
        <f t="shared" si="23"/>
        <v>335</v>
      </c>
      <c r="AB28" s="30">
        <f t="shared" si="17"/>
        <v>3749.29</v>
      </c>
      <c r="AC28" s="30">
        <f>ROUND($AC$18*$A$28,2)</f>
        <v>7540</v>
      </c>
      <c r="AD28" s="30">
        <f t="shared" si="19"/>
        <v>11624.29</v>
      </c>
      <c r="AE28" s="30">
        <f t="shared" si="20"/>
        <v>5337.54</v>
      </c>
      <c r="AF28" s="30">
        <f t="shared" si="21"/>
        <v>-565.22</v>
      </c>
      <c r="AG28" s="63"/>
    </row>
    <row r="29" spans="1:36" x14ac:dyDescent="0.25">
      <c r="A29" s="44"/>
      <c r="B29" s="140">
        <v>0.5</v>
      </c>
      <c r="C29" s="44">
        <f>A28*(365.25/12)*B29</f>
        <v>15218.75</v>
      </c>
      <c r="D29" s="28">
        <f t="shared" si="0"/>
        <v>12328.32</v>
      </c>
      <c r="E29" s="28">
        <f t="shared" si="1"/>
        <v>14123.82</v>
      </c>
      <c r="F29" s="96">
        <f t="shared" si="2"/>
        <v>8895.91</v>
      </c>
      <c r="G29" s="28">
        <f t="shared" si="3"/>
        <v>-7100.41</v>
      </c>
      <c r="H29" s="29">
        <f t="shared" si="4"/>
        <v>-0.57589999999999997</v>
      </c>
      <c r="I29" s="28">
        <f t="shared" si="5"/>
        <v>59731.96</v>
      </c>
      <c r="J29" s="28">
        <f t="shared" si="6"/>
        <v>104.82</v>
      </c>
      <c r="K29" s="28">
        <f t="shared" si="7"/>
        <v>4182.3</v>
      </c>
      <c r="L29" s="28">
        <f t="shared" si="8"/>
        <v>85243.310000000012</v>
      </c>
      <c r="M29" s="28">
        <f t="shared" si="9"/>
        <v>78142.900000000009</v>
      </c>
      <c r="N29" s="29">
        <f t="shared" si="10"/>
        <v>-8.3299999999999999E-2</v>
      </c>
      <c r="O29" s="28">
        <f t="shared" si="11"/>
        <v>-942.04</v>
      </c>
      <c r="P29" s="28">
        <f t="shared" si="12"/>
        <v>77200.860000000015</v>
      </c>
      <c r="Q29" s="29">
        <f t="shared" si="13"/>
        <v>-9.4299999999999995E-2</v>
      </c>
      <c r="V29" s="30">
        <f t="shared" si="22"/>
        <v>285</v>
      </c>
      <c r="W29" s="30">
        <f t="shared" si="14"/>
        <v>5483.32</v>
      </c>
      <c r="X29" s="30">
        <f t="shared" ref="X29:X30" si="26">ROUND($X$18*$A$28,2)</f>
        <v>6560</v>
      </c>
      <c r="Y29" s="30">
        <f t="shared" si="16"/>
        <v>12328.32</v>
      </c>
      <c r="AA29" s="30">
        <f t="shared" si="23"/>
        <v>335</v>
      </c>
      <c r="AB29" s="30">
        <f t="shared" si="17"/>
        <v>6248.82</v>
      </c>
      <c r="AC29" s="30">
        <f t="shared" ref="AC29:AC30" si="27">ROUND($AC$18*$A$28,2)</f>
        <v>7540</v>
      </c>
      <c r="AD29" s="30">
        <f t="shared" si="19"/>
        <v>14123.82</v>
      </c>
      <c r="AE29" s="30">
        <f t="shared" si="20"/>
        <v>8895.91</v>
      </c>
      <c r="AF29" s="30">
        <f t="shared" si="21"/>
        <v>-942.04</v>
      </c>
    </row>
    <row r="30" spans="1:36" x14ac:dyDescent="0.25">
      <c r="A30" s="44"/>
      <c r="B30" s="140">
        <v>1</v>
      </c>
      <c r="C30" s="44">
        <f>A28*(365.25/12)*B30</f>
        <v>30437.5</v>
      </c>
      <c r="D30" s="28">
        <f t="shared" si="0"/>
        <v>17811.629999999997</v>
      </c>
      <c r="E30" s="28">
        <f t="shared" si="1"/>
        <v>20372.64</v>
      </c>
      <c r="F30" s="96">
        <f t="shared" si="2"/>
        <v>17791.810000000001</v>
      </c>
      <c r="G30" s="28">
        <f t="shared" si="3"/>
        <v>-15230.800000000003</v>
      </c>
      <c r="H30" s="29">
        <f t="shared" si="4"/>
        <v>-0.85509999999999997</v>
      </c>
      <c r="I30" s="28">
        <f t="shared" si="5"/>
        <v>119463.93</v>
      </c>
      <c r="J30" s="28">
        <f t="shared" si="6"/>
        <v>209.64</v>
      </c>
      <c r="K30" s="28">
        <f t="shared" si="7"/>
        <v>8364.6</v>
      </c>
      <c r="L30" s="28">
        <f t="shared" si="8"/>
        <v>163641.61000000002</v>
      </c>
      <c r="M30" s="28">
        <f t="shared" si="9"/>
        <v>148410.81000000003</v>
      </c>
      <c r="N30" s="29">
        <f t="shared" si="10"/>
        <v>-9.3100000000000002E-2</v>
      </c>
      <c r="O30" s="28">
        <f t="shared" si="11"/>
        <v>-1884.08</v>
      </c>
      <c r="P30" s="28">
        <f t="shared" si="12"/>
        <v>146526.73000000004</v>
      </c>
      <c r="Q30" s="29">
        <f t="shared" si="13"/>
        <v>-0.1046</v>
      </c>
      <c r="V30" s="30">
        <f t="shared" si="22"/>
        <v>285</v>
      </c>
      <c r="W30" s="30">
        <f t="shared" si="14"/>
        <v>10966.63</v>
      </c>
      <c r="X30" s="30">
        <f t="shared" si="26"/>
        <v>6560</v>
      </c>
      <c r="Y30" s="30">
        <f t="shared" si="16"/>
        <v>17811.629999999997</v>
      </c>
      <c r="AA30" s="30">
        <f t="shared" si="23"/>
        <v>335</v>
      </c>
      <c r="AB30" s="30">
        <f t="shared" si="17"/>
        <v>12497.64</v>
      </c>
      <c r="AC30" s="30">
        <f t="shared" si="27"/>
        <v>7540</v>
      </c>
      <c r="AD30" s="30">
        <f t="shared" si="19"/>
        <v>20372.64</v>
      </c>
      <c r="AE30" s="30">
        <f t="shared" si="20"/>
        <v>17791.810000000001</v>
      </c>
      <c r="AF30" s="30">
        <f t="shared" si="21"/>
        <v>-1884.08</v>
      </c>
      <c r="AG30" s="63"/>
    </row>
    <row r="31" spans="1:36" x14ac:dyDescent="0.25">
      <c r="A31" s="44"/>
      <c r="C31" s="44"/>
      <c r="D31" s="28"/>
      <c r="E31" s="28"/>
      <c r="F31" s="96"/>
      <c r="G31" s="28"/>
      <c r="H31" s="29"/>
      <c r="I31" s="28"/>
      <c r="J31" s="28"/>
      <c r="K31" s="28"/>
      <c r="L31" s="28"/>
      <c r="M31" s="28"/>
      <c r="N31" s="29"/>
      <c r="O31" s="28"/>
      <c r="P31" s="28"/>
      <c r="Q31" s="29"/>
      <c r="V31" s="30"/>
      <c r="W31" s="30"/>
      <c r="X31" s="30"/>
      <c r="Y31" s="30"/>
      <c r="AA31" s="30"/>
      <c r="AB31" s="30"/>
      <c r="AC31" s="30"/>
      <c r="AD31" s="30"/>
      <c r="AE31" s="30"/>
      <c r="AF31" s="30"/>
    </row>
    <row r="32" spans="1:36" x14ac:dyDescent="0.25">
      <c r="A32" s="44">
        <v>2500</v>
      </c>
      <c r="B32" s="140">
        <v>0.3</v>
      </c>
      <c r="C32" s="44">
        <f>A32*(365.25/12)*B32</f>
        <v>22828.125</v>
      </c>
      <c r="D32" s="28">
        <f t="shared" si="0"/>
        <v>24909.97</v>
      </c>
      <c r="E32" s="28">
        <f t="shared" si="1"/>
        <v>28558.23</v>
      </c>
      <c r="F32" s="96">
        <f t="shared" si="2"/>
        <v>13343.86</v>
      </c>
      <c r="G32" s="28">
        <f t="shared" si="3"/>
        <v>-9695.6000000000022</v>
      </c>
      <c r="H32" s="29">
        <f t="shared" si="4"/>
        <v>-0.38919999999999999</v>
      </c>
      <c r="I32" s="28">
        <f t="shared" si="5"/>
        <v>89597.94</v>
      </c>
      <c r="J32" s="28">
        <f t="shared" si="6"/>
        <v>157.22999999999999</v>
      </c>
      <c r="K32" s="28">
        <f t="shared" si="7"/>
        <v>6273.45</v>
      </c>
      <c r="L32" s="28">
        <f t="shared" si="8"/>
        <v>134282.45000000001</v>
      </c>
      <c r="M32" s="28">
        <f t="shared" si="9"/>
        <v>124586.84999999999</v>
      </c>
      <c r="N32" s="29">
        <f t="shared" si="10"/>
        <v>-7.22E-2</v>
      </c>
      <c r="O32" s="28">
        <f t="shared" si="11"/>
        <v>-1413.06</v>
      </c>
      <c r="P32" s="28">
        <f t="shared" si="12"/>
        <v>123173.79</v>
      </c>
      <c r="Q32" s="29">
        <f t="shared" si="13"/>
        <v>-8.2699999999999996E-2</v>
      </c>
      <c r="V32" s="30">
        <f t="shared" si="22"/>
        <v>285</v>
      </c>
      <c r="W32" s="30">
        <f t="shared" si="14"/>
        <v>8224.9699999999993</v>
      </c>
      <c r="X32" s="30">
        <f>ROUND($X$18*$A$32,2)</f>
        <v>16400</v>
      </c>
      <c r="Y32" s="30">
        <f t="shared" si="16"/>
        <v>24909.97</v>
      </c>
      <c r="AA32" s="30">
        <f t="shared" si="23"/>
        <v>335</v>
      </c>
      <c r="AB32" s="30">
        <f t="shared" si="17"/>
        <v>9373.23</v>
      </c>
      <c r="AC32" s="30">
        <f>ROUND($AC$18*$A$32,2)</f>
        <v>18850</v>
      </c>
      <c r="AD32" s="30">
        <f t="shared" si="19"/>
        <v>28558.23</v>
      </c>
      <c r="AE32" s="30">
        <f t="shared" si="20"/>
        <v>13343.86</v>
      </c>
      <c r="AF32" s="30">
        <f t="shared" si="21"/>
        <v>-1413.06</v>
      </c>
      <c r="AG32" s="63"/>
    </row>
    <row r="33" spans="1:33" x14ac:dyDescent="0.25">
      <c r="A33" s="44"/>
      <c r="B33" s="140">
        <v>0.5</v>
      </c>
      <c r="C33" s="44">
        <f>A32*(365.25/12)*B33</f>
        <v>38046.875</v>
      </c>
      <c r="D33" s="28">
        <f t="shared" si="0"/>
        <v>30393.29</v>
      </c>
      <c r="E33" s="28">
        <f t="shared" si="1"/>
        <v>34807.050000000003</v>
      </c>
      <c r="F33" s="96">
        <f t="shared" si="2"/>
        <v>22239.759999999998</v>
      </c>
      <c r="G33" s="28">
        <f t="shared" si="3"/>
        <v>-17826</v>
      </c>
      <c r="H33" s="29">
        <f t="shared" si="4"/>
        <v>-0.58650000000000002</v>
      </c>
      <c r="I33" s="28">
        <f t="shared" si="5"/>
        <v>149329.91</v>
      </c>
      <c r="J33" s="28">
        <f t="shared" si="6"/>
        <v>262.05</v>
      </c>
      <c r="K33" s="28">
        <f t="shared" si="7"/>
        <v>10455.75</v>
      </c>
      <c r="L33" s="28">
        <f t="shared" si="8"/>
        <v>212680.76</v>
      </c>
      <c r="M33" s="28">
        <f t="shared" si="9"/>
        <v>194854.76</v>
      </c>
      <c r="N33" s="29">
        <f t="shared" si="10"/>
        <v>-8.3799999999999999E-2</v>
      </c>
      <c r="O33" s="28">
        <f t="shared" si="11"/>
        <v>-2355.1</v>
      </c>
      <c r="P33" s="28">
        <f t="shared" si="12"/>
        <v>192499.66</v>
      </c>
      <c r="Q33" s="29">
        <f t="shared" si="13"/>
        <v>-9.4899999999999998E-2</v>
      </c>
      <c r="V33" s="30">
        <f t="shared" si="22"/>
        <v>285</v>
      </c>
      <c r="W33" s="30">
        <f t="shared" si="14"/>
        <v>13708.29</v>
      </c>
      <c r="X33" s="30">
        <f t="shared" ref="X33:X34" si="28">ROUND($X$18*$A$32,2)</f>
        <v>16400</v>
      </c>
      <c r="Y33" s="30">
        <f t="shared" si="16"/>
        <v>30393.29</v>
      </c>
      <c r="AA33" s="30">
        <f t="shared" si="23"/>
        <v>335</v>
      </c>
      <c r="AB33" s="30">
        <f t="shared" si="17"/>
        <v>15622.05</v>
      </c>
      <c r="AC33" s="30">
        <f t="shared" ref="AC33:AC34" si="29">ROUND($AC$18*$A$32,2)</f>
        <v>18850</v>
      </c>
      <c r="AD33" s="30">
        <f t="shared" si="19"/>
        <v>34807.050000000003</v>
      </c>
      <c r="AE33" s="30">
        <f t="shared" si="20"/>
        <v>22239.759999999998</v>
      </c>
      <c r="AF33" s="30">
        <f t="shared" si="21"/>
        <v>-2355.1</v>
      </c>
    </row>
    <row r="34" spans="1:33" x14ac:dyDescent="0.25">
      <c r="A34" s="44"/>
      <c r="B34" s="140">
        <v>1</v>
      </c>
      <c r="C34" s="44">
        <f>A32*(365.25/12)*B34</f>
        <v>76093.75</v>
      </c>
      <c r="D34" s="28">
        <f t="shared" si="0"/>
        <v>44101.58</v>
      </c>
      <c r="E34" s="28">
        <f t="shared" si="1"/>
        <v>50429.09</v>
      </c>
      <c r="F34" s="96">
        <f t="shared" si="2"/>
        <v>44479.53</v>
      </c>
      <c r="G34" s="28">
        <f t="shared" si="3"/>
        <v>-38152.020000000004</v>
      </c>
      <c r="H34" s="29">
        <f t="shared" si="4"/>
        <v>-0.86509999999999998</v>
      </c>
      <c r="I34" s="28">
        <f t="shared" si="5"/>
        <v>298659.82</v>
      </c>
      <c r="J34" s="28">
        <f t="shared" si="6"/>
        <v>524.1</v>
      </c>
      <c r="K34" s="28">
        <f t="shared" si="7"/>
        <v>20911.5</v>
      </c>
      <c r="L34" s="28">
        <f t="shared" si="8"/>
        <v>408676.52999999997</v>
      </c>
      <c r="M34" s="28">
        <f t="shared" si="9"/>
        <v>370524.51</v>
      </c>
      <c r="N34" s="29">
        <f t="shared" si="10"/>
        <v>-9.3399999999999997E-2</v>
      </c>
      <c r="O34" s="28">
        <f t="shared" si="11"/>
        <v>-4710.2</v>
      </c>
      <c r="P34" s="28">
        <f t="shared" si="12"/>
        <v>365814.31</v>
      </c>
      <c r="Q34" s="29">
        <f t="shared" si="13"/>
        <v>-0.10489999999999999</v>
      </c>
      <c r="V34" s="30">
        <f t="shared" si="22"/>
        <v>285</v>
      </c>
      <c r="W34" s="30">
        <f t="shared" si="14"/>
        <v>27416.58</v>
      </c>
      <c r="X34" s="30">
        <f t="shared" si="28"/>
        <v>16400</v>
      </c>
      <c r="Y34" s="30">
        <f t="shared" si="16"/>
        <v>44101.58</v>
      </c>
      <c r="AA34" s="30">
        <f t="shared" si="23"/>
        <v>335</v>
      </c>
      <c r="AB34" s="30">
        <f t="shared" si="17"/>
        <v>31244.09</v>
      </c>
      <c r="AC34" s="30">
        <f t="shared" si="29"/>
        <v>18850</v>
      </c>
      <c r="AD34" s="30">
        <f t="shared" si="19"/>
        <v>50429.09</v>
      </c>
      <c r="AE34" s="30">
        <f t="shared" si="20"/>
        <v>44479.53</v>
      </c>
      <c r="AF34" s="30">
        <f t="shared" si="21"/>
        <v>-4710.2</v>
      </c>
      <c r="AG34" s="63"/>
    </row>
    <row r="35" spans="1:33" x14ac:dyDescent="0.25">
      <c r="A35" s="44"/>
      <c r="C35" s="44"/>
      <c r="D35" s="28"/>
      <c r="E35" s="28"/>
      <c r="F35" s="96"/>
      <c r="G35" s="28"/>
      <c r="H35" s="29"/>
      <c r="I35" s="28"/>
      <c r="J35" s="28"/>
      <c r="K35" s="28"/>
      <c r="L35" s="28"/>
      <c r="M35" s="28"/>
      <c r="N35" s="29"/>
      <c r="O35" s="28"/>
      <c r="P35" s="28"/>
      <c r="Q35" s="29"/>
      <c r="V35" s="30"/>
      <c r="W35" s="30"/>
      <c r="X35" s="30"/>
      <c r="Y35" s="30"/>
      <c r="AA35" s="30"/>
      <c r="AB35" s="30"/>
      <c r="AC35" s="30"/>
      <c r="AD35" s="30"/>
      <c r="AE35" s="30"/>
      <c r="AF35" s="30"/>
      <c r="AG35" s="63"/>
    </row>
    <row r="36" spans="1:33" x14ac:dyDescent="0.25">
      <c r="A36" s="44">
        <v>5000</v>
      </c>
      <c r="B36" s="140">
        <v>0.3</v>
      </c>
      <c r="C36" s="44">
        <f>A36*(365.25/12)*B36</f>
        <v>45656.25</v>
      </c>
      <c r="D36" s="28">
        <f t="shared" si="0"/>
        <v>49534.95</v>
      </c>
      <c r="E36" s="28">
        <f t="shared" si="1"/>
        <v>56781.46</v>
      </c>
      <c r="F36" s="96">
        <f t="shared" si="2"/>
        <v>26687.72</v>
      </c>
      <c r="G36" s="28">
        <f t="shared" si="3"/>
        <v>-19441.21</v>
      </c>
      <c r="H36" s="29">
        <f t="shared" si="4"/>
        <v>-0.39250000000000002</v>
      </c>
      <c r="I36" s="28">
        <f t="shared" si="5"/>
        <v>179195.89</v>
      </c>
      <c r="J36" s="28">
        <f t="shared" si="6"/>
        <v>314.45999999999998</v>
      </c>
      <c r="K36" s="28">
        <f t="shared" si="7"/>
        <v>12546.9</v>
      </c>
      <c r="L36" s="28">
        <f t="shared" si="8"/>
        <v>268279.92</v>
      </c>
      <c r="M36" s="28">
        <f t="shared" si="9"/>
        <v>248838.71</v>
      </c>
      <c r="N36" s="29">
        <f t="shared" si="10"/>
        <v>-7.2499999999999995E-2</v>
      </c>
      <c r="O36" s="28">
        <f t="shared" si="11"/>
        <v>-2826.12</v>
      </c>
      <c r="P36" s="28">
        <f t="shared" si="12"/>
        <v>246012.59</v>
      </c>
      <c r="Q36" s="29">
        <f t="shared" si="13"/>
        <v>-8.3000000000000004E-2</v>
      </c>
      <c r="V36" s="30">
        <f t="shared" si="22"/>
        <v>285</v>
      </c>
      <c r="W36" s="30">
        <f t="shared" si="14"/>
        <v>16449.95</v>
      </c>
      <c r="X36" s="30">
        <f>ROUND($X$18*$A$36,2)</f>
        <v>32800</v>
      </c>
      <c r="Y36" s="30">
        <f t="shared" si="16"/>
        <v>49534.95</v>
      </c>
      <c r="AA36" s="30">
        <f t="shared" si="23"/>
        <v>335</v>
      </c>
      <c r="AB36" s="30">
        <f t="shared" si="17"/>
        <v>18746.46</v>
      </c>
      <c r="AC36" s="30">
        <f>ROUND($AC$18*$A$36,2)</f>
        <v>37700</v>
      </c>
      <c r="AD36" s="30">
        <f t="shared" si="19"/>
        <v>56781.46</v>
      </c>
      <c r="AE36" s="30">
        <f t="shared" si="20"/>
        <v>26687.72</v>
      </c>
      <c r="AF36" s="30">
        <f t="shared" si="21"/>
        <v>-2826.12</v>
      </c>
      <c r="AG36" s="63"/>
    </row>
    <row r="37" spans="1:33" x14ac:dyDescent="0.25">
      <c r="B37" s="140">
        <v>0.5</v>
      </c>
      <c r="C37" s="44">
        <f>A36*(365.25/12)*B37</f>
        <v>76093.75</v>
      </c>
      <c r="D37" s="28">
        <f t="shared" si="0"/>
        <v>60501.58</v>
      </c>
      <c r="E37" s="28">
        <f t="shared" si="1"/>
        <v>69279.09</v>
      </c>
      <c r="F37" s="96">
        <f t="shared" si="2"/>
        <v>44479.53</v>
      </c>
      <c r="G37" s="28">
        <f t="shared" si="3"/>
        <v>-35702.020000000004</v>
      </c>
      <c r="H37" s="29">
        <f t="shared" si="4"/>
        <v>-0.59009999999999996</v>
      </c>
      <c r="I37" s="28">
        <f t="shared" si="5"/>
        <v>298659.82</v>
      </c>
      <c r="J37" s="28">
        <f t="shared" si="6"/>
        <v>524.1</v>
      </c>
      <c r="K37" s="28">
        <f t="shared" si="7"/>
        <v>20911.5</v>
      </c>
      <c r="L37" s="28">
        <f t="shared" si="8"/>
        <v>425076.52999999997</v>
      </c>
      <c r="M37" s="28">
        <f t="shared" si="9"/>
        <v>389374.51</v>
      </c>
      <c r="N37" s="29">
        <f t="shared" si="10"/>
        <v>-8.4000000000000005E-2</v>
      </c>
      <c r="O37" s="28">
        <f t="shared" si="11"/>
        <v>-4710.2</v>
      </c>
      <c r="P37" s="28">
        <f t="shared" si="12"/>
        <v>384664.31</v>
      </c>
      <c r="Q37" s="29">
        <f t="shared" si="13"/>
        <v>-9.5100000000000004E-2</v>
      </c>
      <c r="V37" s="30">
        <f t="shared" si="22"/>
        <v>285</v>
      </c>
      <c r="W37" s="30">
        <f t="shared" si="14"/>
        <v>27416.58</v>
      </c>
      <c r="X37" s="30">
        <f>ROUND($X$18*$A$36,2)</f>
        <v>32800</v>
      </c>
      <c r="Y37" s="30">
        <f t="shared" si="16"/>
        <v>60501.58</v>
      </c>
      <c r="AA37" s="30">
        <f t="shared" si="23"/>
        <v>335</v>
      </c>
      <c r="AB37" s="30">
        <f t="shared" si="17"/>
        <v>31244.09</v>
      </c>
      <c r="AC37" s="30">
        <f t="shared" ref="AC37:AC38" si="30">ROUND($AC$18*$A$36,2)</f>
        <v>37700</v>
      </c>
      <c r="AD37" s="30">
        <f t="shared" si="19"/>
        <v>69279.09</v>
      </c>
      <c r="AE37" s="30">
        <f t="shared" si="20"/>
        <v>44479.53</v>
      </c>
      <c r="AF37" s="30">
        <f t="shared" si="21"/>
        <v>-4710.2</v>
      </c>
      <c r="AG37" s="63"/>
    </row>
    <row r="38" spans="1:33" x14ac:dyDescent="0.25">
      <c r="B38" s="140">
        <v>1</v>
      </c>
      <c r="C38" s="44">
        <f>A36*(365.25/12)*B38</f>
        <v>152187.5</v>
      </c>
      <c r="D38" s="28">
        <f t="shared" si="0"/>
        <v>87918.16</v>
      </c>
      <c r="E38" s="28">
        <f t="shared" si="1"/>
        <v>100523.19</v>
      </c>
      <c r="F38" s="96">
        <f t="shared" si="2"/>
        <v>88959.06</v>
      </c>
      <c r="G38" s="28">
        <f t="shared" si="3"/>
        <v>-76354.03</v>
      </c>
      <c r="H38" s="29">
        <f t="shared" si="4"/>
        <v>-0.86850000000000005</v>
      </c>
      <c r="I38" s="28">
        <f t="shared" si="5"/>
        <v>597319.63</v>
      </c>
      <c r="J38" s="28">
        <f t="shared" si="6"/>
        <v>1048.21</v>
      </c>
      <c r="K38" s="28">
        <f t="shared" si="7"/>
        <v>41823.01</v>
      </c>
      <c r="L38" s="28">
        <f t="shared" si="8"/>
        <v>817068.07</v>
      </c>
      <c r="M38" s="28">
        <f t="shared" si="9"/>
        <v>740714.04</v>
      </c>
      <c r="N38" s="29">
        <f t="shared" si="10"/>
        <v>-9.3399999999999997E-2</v>
      </c>
      <c r="O38" s="28">
        <f t="shared" si="11"/>
        <v>-9420.41</v>
      </c>
      <c r="P38" s="28">
        <f t="shared" si="12"/>
        <v>731293.63</v>
      </c>
      <c r="Q38" s="29">
        <f t="shared" si="13"/>
        <v>-0.105</v>
      </c>
      <c r="V38" s="30">
        <f t="shared" si="22"/>
        <v>285</v>
      </c>
      <c r="W38" s="30">
        <f t="shared" si="14"/>
        <v>54833.16</v>
      </c>
      <c r="X38" s="30">
        <f>ROUND($X$18*$A$36,2)</f>
        <v>32800</v>
      </c>
      <c r="Y38" s="30">
        <f t="shared" si="16"/>
        <v>87918.16</v>
      </c>
      <c r="AA38" s="30">
        <f t="shared" si="23"/>
        <v>335</v>
      </c>
      <c r="AB38" s="30">
        <f t="shared" si="17"/>
        <v>62488.19</v>
      </c>
      <c r="AC38" s="30">
        <f t="shared" si="30"/>
        <v>37700</v>
      </c>
      <c r="AD38" s="30">
        <f t="shared" si="19"/>
        <v>100523.19</v>
      </c>
      <c r="AE38" s="30">
        <f t="shared" si="20"/>
        <v>88959.06</v>
      </c>
      <c r="AF38" s="30">
        <f t="shared" si="21"/>
        <v>-9420.41</v>
      </c>
      <c r="AG38" s="63"/>
    </row>
    <row r="39" spans="1:33" x14ac:dyDescent="0.25">
      <c r="G39" s="2"/>
      <c r="L39" s="27"/>
      <c r="M39" s="27"/>
      <c r="N39" s="27"/>
      <c r="O39" s="27"/>
      <c r="P39" s="27"/>
      <c r="Q39" s="27"/>
    </row>
    <row r="40" spans="1:33" x14ac:dyDescent="0.25">
      <c r="A40" s="26" t="s">
        <v>85</v>
      </c>
      <c r="D40" s="43"/>
      <c r="E40" s="44"/>
      <c r="F40" s="44"/>
      <c r="L40" s="28"/>
      <c r="M40" s="28"/>
      <c r="N40" s="29"/>
      <c r="O40" s="29"/>
      <c r="P40" s="29"/>
      <c r="Q40" s="29"/>
    </row>
    <row r="41" spans="1:33" x14ac:dyDescent="0.25">
      <c r="A41" s="46" t="str">
        <f>("Forecast Period Average Usage = "&amp;ROUND(INPUT!J17,2)&amp;" Mcf per month")</f>
        <v>Forecast Period Average Usage = 125 Mcf per month</v>
      </c>
    </row>
    <row r="42" spans="1:33" x14ac:dyDescent="0.25">
      <c r="A42" s="46" t="str">
        <f>("Forecast Period Average Demand = "&amp;TEXT(INPUT!E61,"0,000")&amp;" Mcf per month")</f>
        <v>Forecast Period Average Demand = 2,000 Mcf per month</v>
      </c>
    </row>
    <row r="43" spans="1:33" x14ac:dyDescent="0.25">
      <c r="A43" s="47" t="s">
        <v>122</v>
      </c>
    </row>
    <row r="44" spans="1:33" x14ac:dyDescent="0.25">
      <c r="A44" s="60" t="str">
        <f>+'Rate Case Constants'!$C$26</f>
        <v>Calculations may vary from other schedules due to rounding</v>
      </c>
    </row>
  </sheetData>
  <mergeCells count="6">
    <mergeCell ref="W4:AH4"/>
    <mergeCell ref="I15:K15"/>
    <mergeCell ref="A1:Q1"/>
    <mergeCell ref="A2:Q2"/>
    <mergeCell ref="A3:Q3"/>
    <mergeCell ref="A4:Q4"/>
  </mergeCells>
  <printOptions horizontalCentered="1"/>
  <pageMargins left="0.75" right="0.75" top="1.5" bottom="0.5" header="1" footer="0.5"/>
  <pageSetup scale="6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J44"/>
  <sheetViews>
    <sheetView zoomScale="70" zoomScaleNormal="70" zoomScaleSheetLayoutView="80" workbookViewId="0">
      <selection sqref="A1:Q1"/>
    </sheetView>
  </sheetViews>
  <sheetFormatPr defaultColWidth="9.1796875" defaultRowHeight="12.5" x14ac:dyDescent="0.25"/>
  <cols>
    <col min="1" max="1" width="9.26953125" style="26" bestFit="1" customWidth="1"/>
    <col min="2" max="2" width="7.90625" style="26" bestFit="1" customWidth="1"/>
    <col min="3" max="3" width="9.7265625" style="26" customWidth="1"/>
    <col min="4" max="6" width="12" style="26" customWidth="1"/>
    <col min="7" max="7" width="12.90625" style="26" bestFit="1" customWidth="1"/>
    <col min="8" max="8" width="12" style="26" customWidth="1"/>
    <col min="9" max="9" width="12.26953125" style="26" customWidth="1"/>
    <col min="10" max="11" width="12" style="26" customWidth="1"/>
    <col min="12" max="12" width="13.81640625" style="26" bestFit="1" customWidth="1"/>
    <col min="13" max="13" width="13.1796875" style="26" customWidth="1"/>
    <col min="14" max="15" width="12" style="26" customWidth="1"/>
    <col min="16" max="16" width="12.7265625" style="26" bestFit="1" customWidth="1"/>
    <col min="17" max="17" width="12" style="26" customWidth="1"/>
    <col min="18" max="21" width="4.26953125" style="26" customWidth="1"/>
    <col min="22" max="22" width="9.26953125" style="26" bestFit="1" customWidth="1"/>
    <col min="23" max="23" width="10.81640625" style="26" bestFit="1" customWidth="1"/>
    <col min="24" max="24" width="10.81640625" style="26" customWidth="1"/>
    <col min="25" max="25" width="11.7265625" style="26" customWidth="1"/>
    <col min="26" max="26" width="9.1796875" style="26"/>
    <col min="27" max="27" width="9.26953125" style="26" bestFit="1" customWidth="1"/>
    <col min="28" max="28" width="10.81640625" style="26" bestFit="1" customWidth="1"/>
    <col min="29" max="29" width="10.81640625" style="26" customWidth="1"/>
    <col min="30" max="30" width="11.7265625" style="26" bestFit="1" customWidth="1"/>
    <col min="31" max="31" width="15.54296875" style="26" bestFit="1" customWidth="1"/>
    <col min="32" max="32" width="15.1796875" style="26" bestFit="1" customWidth="1"/>
    <col min="33" max="33" width="12.26953125" style="26" customWidth="1"/>
    <col min="34" max="16384" width="9.1796875" style="26"/>
  </cols>
  <sheetData>
    <row r="1" spans="1:36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36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36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36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W4" s="156"/>
      <c r="X4" s="156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6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36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36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O7" s="74"/>
      <c r="P7" s="74"/>
      <c r="Q7" s="74" t="str">
        <f>+'Rate Case Constants'!C25</f>
        <v>SCHEDULE N (Gas)</v>
      </c>
    </row>
    <row r="8" spans="1:36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75"/>
      <c r="P8" s="75"/>
      <c r="Q8" s="75" t="str">
        <f>+'Rate Case Constants'!I19</f>
        <v>PAGE 12 OF 13</v>
      </c>
    </row>
    <row r="9" spans="1:36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74"/>
      <c r="P9" s="74"/>
      <c r="Q9" s="74" t="str">
        <f>+'Rate Case Constants'!C36</f>
        <v>WITNESS:   R. M. CONROY</v>
      </c>
      <c r="W9" s="26" t="s">
        <v>169</v>
      </c>
    </row>
    <row r="10" spans="1:36" ht="13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85"/>
      <c r="O10" s="85"/>
      <c r="P10" s="85"/>
      <c r="Q10" s="85"/>
      <c r="R10" s="69"/>
      <c r="S10" s="69"/>
      <c r="T10" s="69"/>
      <c r="U10" s="69"/>
      <c r="V10" s="108" t="s">
        <v>26</v>
      </c>
      <c r="W10" s="54">
        <f>+INPUT!I50</f>
        <v>3.9248928590182599</v>
      </c>
      <c r="X10" s="1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13" x14ac:dyDescent="0.3">
      <c r="A11" s="80" t="s">
        <v>178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69"/>
      <c r="S11" s="69"/>
      <c r="T11" s="69"/>
      <c r="U11" s="69"/>
      <c r="V11" s="108" t="s">
        <v>23</v>
      </c>
      <c r="W11" s="54">
        <f>+INPUT!J50</f>
        <v>6.8875961907150923E-3</v>
      </c>
      <c r="X11" s="54"/>
      <c r="Y11" s="12"/>
      <c r="Z11" s="12"/>
      <c r="AA11" s="18"/>
      <c r="AB11" s="12"/>
      <c r="AC11" s="12"/>
      <c r="AD11" s="12"/>
      <c r="AE11" s="12"/>
      <c r="AF11" s="12"/>
      <c r="AG11" s="27"/>
      <c r="AH11" s="27"/>
      <c r="AI11" s="27"/>
      <c r="AJ11" s="27"/>
    </row>
    <row r="12" spans="1:36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V12" s="21" t="s">
        <v>27</v>
      </c>
      <c r="W12" s="54">
        <f>INPUT!O44</f>
        <v>0.27481237601145259</v>
      </c>
      <c r="X12" s="50"/>
      <c r="Y12" s="12"/>
      <c r="Z12" s="12"/>
      <c r="AA12" s="12"/>
      <c r="AB12" s="12"/>
      <c r="AC12" s="12"/>
      <c r="AD12" s="12"/>
      <c r="AE12" s="12"/>
      <c r="AF12" s="12"/>
      <c r="AG12" s="27"/>
      <c r="AH12" s="27"/>
      <c r="AI12" s="27"/>
      <c r="AJ12" s="27"/>
    </row>
    <row r="13" spans="1:36" ht="13" x14ac:dyDescent="0.3">
      <c r="A13" s="12"/>
      <c r="B13" s="12"/>
      <c r="C13" s="12"/>
      <c r="D13" s="13" t="s">
        <v>68</v>
      </c>
      <c r="E13" s="14" t="s">
        <v>76</v>
      </c>
      <c r="F13" s="14" t="s">
        <v>69</v>
      </c>
      <c r="G13" s="14" t="s">
        <v>70</v>
      </c>
      <c r="H13" s="13" t="s">
        <v>71</v>
      </c>
      <c r="I13" s="13" t="s">
        <v>72</v>
      </c>
      <c r="J13" s="13" t="s">
        <v>77</v>
      </c>
      <c r="K13" s="14" t="s">
        <v>73</v>
      </c>
      <c r="L13" s="13" t="s">
        <v>74</v>
      </c>
      <c r="M13" s="13" t="s">
        <v>75</v>
      </c>
      <c r="N13" s="13" t="s">
        <v>139</v>
      </c>
      <c r="O13" s="13" t="s">
        <v>140</v>
      </c>
      <c r="P13" s="13" t="s">
        <v>141</v>
      </c>
      <c r="Q13" s="13" t="s">
        <v>142</v>
      </c>
      <c r="V13" s="12"/>
      <c r="W13" s="12"/>
      <c r="X13" s="12"/>
      <c r="Y13" s="12"/>
      <c r="Z13" s="12"/>
      <c r="AG13" s="27"/>
      <c r="AH13" s="27"/>
      <c r="AI13" s="27"/>
      <c r="AJ13" s="27"/>
    </row>
    <row r="14" spans="1:36" ht="13" x14ac:dyDescent="0.3">
      <c r="A14" s="27"/>
      <c r="B14" s="27"/>
      <c r="C14" s="27"/>
      <c r="D14" s="62" t="s">
        <v>92</v>
      </c>
      <c r="E14" s="62" t="s">
        <v>92</v>
      </c>
      <c r="F14" s="62" t="s">
        <v>27</v>
      </c>
      <c r="G14" s="27"/>
      <c r="H14" s="27"/>
      <c r="I14" s="27"/>
      <c r="J14" s="27"/>
      <c r="K14" s="27"/>
      <c r="L14" s="13" t="s">
        <v>18</v>
      </c>
      <c r="M14" s="13" t="s">
        <v>18</v>
      </c>
      <c r="N14" s="27"/>
      <c r="O14" s="13" t="s">
        <v>175</v>
      </c>
      <c r="P14" s="13" t="s">
        <v>18</v>
      </c>
      <c r="Q14" s="13"/>
      <c r="V14" s="19" t="s">
        <v>0</v>
      </c>
      <c r="W14" s="19"/>
      <c r="X14" s="19"/>
      <c r="Y14" s="19"/>
      <c r="Z14" s="27"/>
      <c r="AA14" s="19" t="s">
        <v>17</v>
      </c>
      <c r="AB14" s="19"/>
      <c r="AC14" s="19"/>
      <c r="AD14" s="19"/>
      <c r="AE14" s="137" t="s">
        <v>170</v>
      </c>
      <c r="AF14" s="19"/>
      <c r="AG14" s="27"/>
      <c r="AH14" s="27"/>
      <c r="AI14" s="27"/>
      <c r="AJ14" s="27"/>
    </row>
    <row r="15" spans="1:36" ht="13" x14ac:dyDescent="0.3">
      <c r="A15" s="27"/>
      <c r="B15" s="23" t="s">
        <v>177</v>
      </c>
      <c r="C15" s="27"/>
      <c r="D15" s="13" t="s">
        <v>13</v>
      </c>
      <c r="E15" s="13" t="s">
        <v>19</v>
      </c>
      <c r="F15" s="13" t="s">
        <v>152</v>
      </c>
      <c r="G15" s="13"/>
      <c r="H15" s="13"/>
      <c r="I15" s="148" t="s">
        <v>20</v>
      </c>
      <c r="J15" s="148"/>
      <c r="K15" s="149"/>
      <c r="L15" s="13" t="s">
        <v>13</v>
      </c>
      <c r="M15" s="13" t="s">
        <v>19</v>
      </c>
      <c r="N15" s="13"/>
      <c r="O15" s="13" t="s">
        <v>176</v>
      </c>
      <c r="P15" s="13" t="s">
        <v>19</v>
      </c>
      <c r="Q15" s="13"/>
      <c r="V15" s="14" t="s">
        <v>29</v>
      </c>
      <c r="W15" s="13"/>
      <c r="X15" s="13"/>
      <c r="Y15" s="14"/>
      <c r="Z15" s="27"/>
      <c r="AA15" s="14" t="s">
        <v>29</v>
      </c>
      <c r="AB15" s="13"/>
      <c r="AC15" s="13"/>
      <c r="AD15" s="14"/>
      <c r="AE15" s="14" t="s">
        <v>154</v>
      </c>
      <c r="AF15" s="14" t="s">
        <v>143</v>
      </c>
      <c r="AG15" s="27"/>
      <c r="AH15" s="27"/>
      <c r="AI15" s="27"/>
      <c r="AJ15" s="27"/>
    </row>
    <row r="16" spans="1:36" ht="13" x14ac:dyDescent="0.3">
      <c r="A16" s="23"/>
      <c r="B16" s="23" t="s">
        <v>159</v>
      </c>
      <c r="C16" s="23"/>
      <c r="D16" s="13" t="s">
        <v>21</v>
      </c>
      <c r="E16" s="13" t="s">
        <v>21</v>
      </c>
      <c r="F16" s="13" t="s">
        <v>153</v>
      </c>
      <c r="G16" s="13" t="s">
        <v>22</v>
      </c>
      <c r="H16" s="13" t="s">
        <v>22</v>
      </c>
      <c r="I16" s="13" t="s">
        <v>26</v>
      </c>
      <c r="J16" s="13" t="s">
        <v>23</v>
      </c>
      <c r="K16" s="13" t="s">
        <v>27</v>
      </c>
      <c r="L16" s="13" t="s">
        <v>21</v>
      </c>
      <c r="M16" s="13" t="s">
        <v>21</v>
      </c>
      <c r="N16" s="13" t="s">
        <v>22</v>
      </c>
      <c r="O16" s="13" t="s">
        <v>143</v>
      </c>
      <c r="P16" s="13" t="s">
        <v>144</v>
      </c>
      <c r="Q16" s="13" t="s">
        <v>22</v>
      </c>
      <c r="V16" s="14" t="s">
        <v>30</v>
      </c>
      <c r="W16" s="13" t="s">
        <v>93</v>
      </c>
      <c r="X16" s="13" t="s">
        <v>87</v>
      </c>
      <c r="Y16" s="14" t="s">
        <v>18</v>
      </c>
      <c r="Z16" s="27"/>
      <c r="AA16" s="14" t="s">
        <v>30</v>
      </c>
      <c r="AB16" s="13" t="s">
        <v>93</v>
      </c>
      <c r="AC16" s="13" t="s">
        <v>87</v>
      </c>
      <c r="AD16" s="14" t="s">
        <v>18</v>
      </c>
      <c r="AE16" s="14">
        <f>INPUT!O50</f>
        <v>0.58453588979318905</v>
      </c>
      <c r="AF16" s="14">
        <f>INPUT!K34</f>
        <v>-6.1899999999999997E-2</v>
      </c>
      <c r="AG16" s="17"/>
      <c r="AH16" s="13"/>
      <c r="AI16" s="13"/>
      <c r="AJ16" s="13"/>
    </row>
    <row r="17" spans="1:36" ht="13" x14ac:dyDescent="0.3">
      <c r="A17" s="23" t="s">
        <v>124</v>
      </c>
      <c r="B17" s="23" t="s">
        <v>160</v>
      </c>
      <c r="C17" s="23" t="s">
        <v>123</v>
      </c>
      <c r="D17" s="13"/>
      <c r="E17" s="13"/>
      <c r="F17" s="76"/>
      <c r="G17" s="13" t="s">
        <v>24</v>
      </c>
      <c r="H17" s="14" t="s">
        <v>25</v>
      </c>
      <c r="I17" s="15"/>
      <c r="J17" s="15"/>
      <c r="K17" s="16"/>
      <c r="L17" s="13" t="s">
        <v>24</v>
      </c>
      <c r="M17" s="13" t="s">
        <v>24</v>
      </c>
      <c r="N17" s="14" t="s">
        <v>25</v>
      </c>
      <c r="O17" s="77"/>
      <c r="P17" s="77" t="s">
        <v>143</v>
      </c>
      <c r="Q17" s="77" t="s">
        <v>25</v>
      </c>
      <c r="V17" s="97" t="s">
        <v>31</v>
      </c>
      <c r="W17" s="98" t="s">
        <v>31</v>
      </c>
      <c r="X17" s="98" t="s">
        <v>31</v>
      </c>
      <c r="Y17" s="97" t="s">
        <v>21</v>
      </c>
      <c r="Z17" s="27"/>
      <c r="AA17" s="97" t="s">
        <v>31</v>
      </c>
      <c r="AB17" s="98" t="s">
        <v>31</v>
      </c>
      <c r="AC17" s="98" t="s">
        <v>31</v>
      </c>
      <c r="AD17" s="97" t="s">
        <v>21</v>
      </c>
      <c r="AE17" s="120" t="s">
        <v>147</v>
      </c>
      <c r="AF17" s="120" t="s">
        <v>147</v>
      </c>
      <c r="AG17" s="17"/>
      <c r="AH17" s="13"/>
      <c r="AI17" s="13"/>
      <c r="AJ17" s="13"/>
    </row>
    <row r="18" spans="1:36" ht="13" x14ac:dyDescent="0.3">
      <c r="A18" s="139"/>
      <c r="B18" s="139"/>
      <c r="C18" s="139"/>
      <c r="D18" s="98"/>
      <c r="E18" s="98"/>
      <c r="F18" s="121"/>
      <c r="G18" s="116" t="str">
        <f>("[ "&amp;E13&amp;" - ("&amp;F13&amp;" + "&amp;D13&amp;") ]")</f>
        <v>[ B - (C + A) ]</v>
      </c>
      <c r="H18" s="116" t="str">
        <f>("[ "&amp;G13&amp;" / "&amp;D13&amp;" ]")</f>
        <v>[ D / A ]</v>
      </c>
      <c r="I18" s="117"/>
      <c r="J18" s="117"/>
      <c r="K18" s="117"/>
      <c r="L18" s="116" t="str">
        <f>("["&amp;D13&amp;"+"&amp;F13&amp;"+"&amp;$I$13&amp;"+"&amp;$J$13&amp;"+"&amp;$K$13&amp;"]")</f>
        <v>[A+C+F+G+H]</v>
      </c>
      <c r="M18" s="116" t="str">
        <f>("["&amp;E13&amp;"+"&amp;I13&amp;"+"&amp;J13&amp;"+"&amp;K13&amp;"]")</f>
        <v>[B+F+G+H]</v>
      </c>
      <c r="N18" s="121" t="str">
        <f>("[("&amp;M13&amp;" - "&amp;L13&amp;") / "&amp;L13&amp;"]")</f>
        <v>[(J - I) / I]</v>
      </c>
      <c r="O18" s="121"/>
      <c r="P18" s="121" t="s">
        <v>145</v>
      </c>
      <c r="Q18" s="121" t="s">
        <v>146</v>
      </c>
      <c r="V18" s="14"/>
      <c r="W18" s="20">
        <f>+INPUT!$K$9</f>
        <v>0.29920000000000002</v>
      </c>
      <c r="X18" s="20">
        <f>+INPUT!$K$12</f>
        <v>10.9</v>
      </c>
      <c r="Y18" s="14"/>
      <c r="Z18" s="27"/>
      <c r="AA18" s="14"/>
      <c r="AB18" s="20">
        <f>+INPUT!$K$27</f>
        <v>0.31</v>
      </c>
      <c r="AC18" s="20">
        <f>+INPUT!$K$30</f>
        <v>10.89</v>
      </c>
      <c r="AD18" s="14"/>
      <c r="AE18" s="14"/>
      <c r="AF18" s="14"/>
      <c r="AG18" s="17"/>
      <c r="AH18" s="13"/>
      <c r="AI18" s="13"/>
      <c r="AJ18" s="13"/>
    </row>
    <row r="19" spans="1:36" ht="13" x14ac:dyDescent="0.3">
      <c r="A19" s="23"/>
      <c r="C19" s="23"/>
      <c r="D19" s="13"/>
      <c r="E19" s="13"/>
      <c r="F19" s="13"/>
      <c r="G19" s="2"/>
      <c r="H19" s="13"/>
      <c r="I19" s="13"/>
      <c r="J19" s="13"/>
      <c r="K19" s="13"/>
      <c r="L19" s="14"/>
      <c r="M19" s="14"/>
      <c r="N19" s="14"/>
      <c r="O19" s="14"/>
      <c r="P19" s="14"/>
      <c r="Q19" s="14"/>
      <c r="V19" s="14"/>
      <c r="W19" s="14" t="s">
        <v>94</v>
      </c>
      <c r="X19" s="13" t="s">
        <v>88</v>
      </c>
      <c r="Y19" s="14"/>
      <c r="Z19" s="27"/>
      <c r="AA19" s="14"/>
      <c r="AB19" s="14" t="s">
        <v>94</v>
      </c>
      <c r="AC19" s="13" t="s">
        <v>88</v>
      </c>
      <c r="AD19" s="14"/>
      <c r="AE19" s="14"/>
      <c r="AF19" s="14"/>
      <c r="AG19" s="17"/>
      <c r="AH19" s="13"/>
      <c r="AI19" s="13"/>
      <c r="AJ19" s="13"/>
    </row>
    <row r="20" spans="1:36" x14ac:dyDescent="0.25">
      <c r="A20" s="44">
        <f>'SGSS - Commercial'!A20</f>
        <v>100</v>
      </c>
      <c r="B20" s="140">
        <v>0.3</v>
      </c>
      <c r="C20" s="44">
        <f>A20*(365.25/12)*B20</f>
        <v>913.125</v>
      </c>
      <c r="D20" s="92">
        <f>+Y20</f>
        <v>2113.21</v>
      </c>
      <c r="E20" s="92">
        <f>+AD20</f>
        <v>2122.0699999999997</v>
      </c>
      <c r="F20" s="96">
        <f>AE20</f>
        <v>533.75</v>
      </c>
      <c r="G20" s="28">
        <f>+E20-(F20+D20)</f>
        <v>-524.89000000000033</v>
      </c>
      <c r="H20" s="29">
        <f>ROUND(G20/D20,4)</f>
        <v>-0.24840000000000001</v>
      </c>
      <c r="I20" s="28">
        <f>ROUND($C20*$W$10,2)</f>
        <v>3583.92</v>
      </c>
      <c r="J20" s="28">
        <f>ROUND($C20*$W$11,2)</f>
        <v>6.29</v>
      </c>
      <c r="K20" s="28">
        <f>ROUND($C20*$W$12,2)</f>
        <v>250.94</v>
      </c>
      <c r="L20" s="28">
        <f>+D20+F20+I20+J20+K20</f>
        <v>6488.11</v>
      </c>
      <c r="M20" s="28">
        <f>+E20+I20+J20+K20</f>
        <v>5963.2199999999993</v>
      </c>
      <c r="N20" s="29">
        <f>ROUND((M20-L20)/L20,4)</f>
        <v>-8.09E-2</v>
      </c>
      <c r="O20" s="28">
        <f>AF20</f>
        <v>-56.52</v>
      </c>
      <c r="P20" s="28">
        <f>M20+O20</f>
        <v>5906.6999999999989</v>
      </c>
      <c r="Q20" s="29">
        <f>ROUND((P20-L20)/L20,4)</f>
        <v>-8.9599999999999999E-2</v>
      </c>
      <c r="V20" s="30">
        <f>+INPUT!$K$5</f>
        <v>750</v>
      </c>
      <c r="W20" s="30">
        <f>ROUND($W$18*$C20,2)</f>
        <v>273.20999999999998</v>
      </c>
      <c r="X20" s="30">
        <f>ROUND($X$18*$A$20,2)</f>
        <v>1090</v>
      </c>
      <c r="Y20" s="30">
        <f>SUM(V20:X20)</f>
        <v>2113.21</v>
      </c>
      <c r="AA20" s="30">
        <f>+INPUT!$K$22</f>
        <v>750</v>
      </c>
      <c r="AB20" s="30">
        <f>ROUND($AB$18*$C20,2)</f>
        <v>283.07</v>
      </c>
      <c r="AC20" s="30">
        <f>ROUND($AC$18*$A$20,2)</f>
        <v>1089</v>
      </c>
      <c r="AD20" s="30">
        <f>SUM(AA20:AC20)</f>
        <v>2122.0699999999997</v>
      </c>
      <c r="AE20" s="30">
        <f>ROUND($AE$16*C20,2)</f>
        <v>533.75</v>
      </c>
      <c r="AF20" s="30">
        <f>ROUND($AF$16*C20,2)</f>
        <v>-56.52</v>
      </c>
      <c r="AG20" s="63"/>
    </row>
    <row r="21" spans="1:36" x14ac:dyDescent="0.25">
      <c r="A21" s="44"/>
      <c r="B21" s="140">
        <v>0.5</v>
      </c>
      <c r="C21" s="44">
        <f>A20*(365.25/12)*B21</f>
        <v>1521.875</v>
      </c>
      <c r="D21" s="92">
        <f t="shared" ref="D21:D38" si="0">+Y21</f>
        <v>2295.35</v>
      </c>
      <c r="E21" s="92">
        <f t="shared" ref="E21:E38" si="1">+AD21</f>
        <v>2310.7799999999997</v>
      </c>
      <c r="F21" s="96">
        <f t="shared" ref="F21:F38" si="2">AE21</f>
        <v>889.59</v>
      </c>
      <c r="G21" s="28">
        <f t="shared" ref="G21:G38" si="3">+E21-(F21+D21)</f>
        <v>-874.16000000000031</v>
      </c>
      <c r="H21" s="29">
        <f t="shared" ref="H21:H38" si="4">ROUND(G21/D21,4)</f>
        <v>-0.38080000000000003</v>
      </c>
      <c r="I21" s="28">
        <f t="shared" ref="I21:I38" si="5">ROUND($C21*$W$10,2)</f>
        <v>5973.2</v>
      </c>
      <c r="J21" s="28">
        <f t="shared" ref="J21:J38" si="6">ROUND($C21*$W$11,2)</f>
        <v>10.48</v>
      </c>
      <c r="K21" s="28">
        <f t="shared" ref="K21:K38" si="7">ROUND($C21*$W$12,2)</f>
        <v>418.23</v>
      </c>
      <c r="L21" s="28">
        <f t="shared" ref="L21:L38" si="8">+D21+F21+I21+J21+K21</f>
        <v>9586.8499999999985</v>
      </c>
      <c r="M21" s="28">
        <f t="shared" ref="M21:M38" si="9">+E21+I21+J21+K21</f>
        <v>8712.6899999999987</v>
      </c>
      <c r="N21" s="29">
        <f t="shared" ref="N21:N38" si="10">ROUND((M21-L21)/L21,4)</f>
        <v>-9.1200000000000003E-2</v>
      </c>
      <c r="O21" s="28">
        <f t="shared" ref="O21:O38" si="11">AF21</f>
        <v>-94.2</v>
      </c>
      <c r="P21" s="28">
        <f t="shared" ref="P21:P38" si="12">M21+O21</f>
        <v>8618.489999999998</v>
      </c>
      <c r="Q21" s="29">
        <f t="shared" ref="Q21:Q38" si="13">ROUND((P21-L21)/L21,4)</f>
        <v>-0.10100000000000001</v>
      </c>
      <c r="V21" s="30">
        <f>$V$20</f>
        <v>750</v>
      </c>
      <c r="W21" s="30">
        <f t="shared" ref="W21:W38" si="14">ROUND($W$18*$C21,2)</f>
        <v>455.35</v>
      </c>
      <c r="X21" s="30">
        <f t="shared" ref="X21:X22" si="15">ROUND($X$18*$A$20,2)</f>
        <v>1090</v>
      </c>
      <c r="Y21" s="30">
        <f t="shared" ref="Y21:Y38" si="16">SUM(V21:X21)</f>
        <v>2295.35</v>
      </c>
      <c r="AA21" s="30">
        <f>$AA$20</f>
        <v>750</v>
      </c>
      <c r="AB21" s="30">
        <f t="shared" ref="AB21:AB38" si="17">ROUND($AB$18*$C21,2)</f>
        <v>471.78</v>
      </c>
      <c r="AC21" s="30">
        <f t="shared" ref="AC21:AC22" si="18">ROUND($AC$18*$A$20,2)</f>
        <v>1089</v>
      </c>
      <c r="AD21" s="30">
        <f t="shared" ref="AD21:AD38" si="19">SUM(AA21:AC21)</f>
        <v>2310.7799999999997</v>
      </c>
      <c r="AE21" s="30">
        <f t="shared" ref="AE21:AE38" si="20">ROUND($AE$16*C21,2)</f>
        <v>889.59</v>
      </c>
      <c r="AF21" s="30">
        <f t="shared" ref="AF21:AF38" si="21">ROUND($AF$16*C21,2)</f>
        <v>-94.2</v>
      </c>
    </row>
    <row r="22" spans="1:36" x14ac:dyDescent="0.25">
      <c r="A22" s="44"/>
      <c r="B22" s="140">
        <v>1</v>
      </c>
      <c r="C22" s="44">
        <f>A20*(365.25/12)*B22</f>
        <v>3043.75</v>
      </c>
      <c r="D22" s="92">
        <f t="shared" si="0"/>
        <v>2750.69</v>
      </c>
      <c r="E22" s="92">
        <f t="shared" si="1"/>
        <v>2782.56</v>
      </c>
      <c r="F22" s="96">
        <f t="shared" si="2"/>
        <v>1779.18</v>
      </c>
      <c r="G22" s="28">
        <f t="shared" si="3"/>
        <v>-1747.31</v>
      </c>
      <c r="H22" s="29">
        <f t="shared" si="4"/>
        <v>-0.63519999999999999</v>
      </c>
      <c r="I22" s="28">
        <f t="shared" si="5"/>
        <v>11946.39</v>
      </c>
      <c r="J22" s="28">
        <f t="shared" si="6"/>
        <v>20.96</v>
      </c>
      <c r="K22" s="28">
        <f t="shared" si="7"/>
        <v>836.46</v>
      </c>
      <c r="L22" s="28">
        <f t="shared" si="8"/>
        <v>17333.679999999997</v>
      </c>
      <c r="M22" s="28">
        <f t="shared" si="9"/>
        <v>15586.369999999999</v>
      </c>
      <c r="N22" s="29">
        <f t="shared" si="10"/>
        <v>-0.1008</v>
      </c>
      <c r="O22" s="28">
        <f t="shared" si="11"/>
        <v>-188.41</v>
      </c>
      <c r="P22" s="28">
        <f t="shared" si="12"/>
        <v>15397.96</v>
      </c>
      <c r="Q22" s="29">
        <f t="shared" si="13"/>
        <v>-0.11169999999999999</v>
      </c>
      <c r="V22" s="30">
        <f t="shared" ref="V22:V38" si="22">$V$20</f>
        <v>750</v>
      </c>
      <c r="W22" s="30">
        <f t="shared" si="14"/>
        <v>910.69</v>
      </c>
      <c r="X22" s="30">
        <f t="shared" si="15"/>
        <v>1090</v>
      </c>
      <c r="Y22" s="30">
        <f t="shared" si="16"/>
        <v>2750.69</v>
      </c>
      <c r="AA22" s="30">
        <f t="shared" ref="AA22:AA38" si="23">$AA$20</f>
        <v>750</v>
      </c>
      <c r="AB22" s="30">
        <f t="shared" si="17"/>
        <v>943.56</v>
      </c>
      <c r="AC22" s="30">
        <f t="shared" si="18"/>
        <v>1089</v>
      </c>
      <c r="AD22" s="30">
        <f t="shared" si="19"/>
        <v>2782.56</v>
      </c>
      <c r="AE22" s="30">
        <f t="shared" si="20"/>
        <v>1779.18</v>
      </c>
      <c r="AF22" s="30">
        <f t="shared" si="21"/>
        <v>-188.41</v>
      </c>
      <c r="AG22" s="63"/>
    </row>
    <row r="23" spans="1:36" x14ac:dyDescent="0.25">
      <c r="A23" s="44"/>
      <c r="C23" s="44"/>
      <c r="D23" s="92"/>
      <c r="E23" s="92"/>
      <c r="F23" s="96"/>
      <c r="G23" s="28"/>
      <c r="H23" s="29"/>
      <c r="I23" s="28"/>
      <c r="J23" s="28"/>
      <c r="K23" s="28"/>
      <c r="L23" s="28"/>
      <c r="M23" s="28"/>
      <c r="N23" s="29"/>
      <c r="O23" s="28"/>
      <c r="P23" s="28"/>
      <c r="Q23" s="29"/>
      <c r="V23" s="30"/>
      <c r="W23" s="30"/>
      <c r="X23" s="30"/>
      <c r="Y23" s="30"/>
      <c r="AA23" s="30"/>
      <c r="AB23" s="30"/>
      <c r="AC23" s="30"/>
      <c r="AD23" s="30"/>
      <c r="AE23" s="30"/>
      <c r="AF23" s="30"/>
    </row>
    <row r="24" spans="1:36" x14ac:dyDescent="0.25">
      <c r="A24" s="44">
        <f>'SGSS - Commercial'!A24</f>
        <v>500</v>
      </c>
      <c r="B24" s="140">
        <v>0.3</v>
      </c>
      <c r="C24" s="44">
        <f>A24*(365.25/12)*B24</f>
        <v>4565.625</v>
      </c>
      <c r="D24" s="92">
        <f t="shared" si="0"/>
        <v>7566.04</v>
      </c>
      <c r="E24" s="92">
        <f t="shared" si="1"/>
        <v>7610.34</v>
      </c>
      <c r="F24" s="96">
        <f t="shared" si="2"/>
        <v>2668.77</v>
      </c>
      <c r="G24" s="28">
        <f t="shared" si="3"/>
        <v>-2624.4699999999993</v>
      </c>
      <c r="H24" s="29">
        <f t="shared" si="4"/>
        <v>-0.34689999999999999</v>
      </c>
      <c r="I24" s="28">
        <f t="shared" si="5"/>
        <v>17919.59</v>
      </c>
      <c r="J24" s="28">
        <f t="shared" si="6"/>
        <v>31.45</v>
      </c>
      <c r="K24" s="28">
        <f t="shared" si="7"/>
        <v>1254.69</v>
      </c>
      <c r="L24" s="28">
        <f t="shared" si="8"/>
        <v>29440.54</v>
      </c>
      <c r="M24" s="28">
        <f t="shared" si="9"/>
        <v>26816.07</v>
      </c>
      <c r="N24" s="29">
        <f t="shared" si="10"/>
        <v>-8.9099999999999999E-2</v>
      </c>
      <c r="O24" s="28">
        <f t="shared" si="11"/>
        <v>-282.61</v>
      </c>
      <c r="P24" s="28">
        <f t="shared" si="12"/>
        <v>26533.46</v>
      </c>
      <c r="Q24" s="29">
        <f t="shared" si="13"/>
        <v>-9.8699999999999996E-2</v>
      </c>
      <c r="V24" s="30">
        <f t="shared" si="22"/>
        <v>750</v>
      </c>
      <c r="W24" s="30">
        <f t="shared" si="14"/>
        <v>1366.04</v>
      </c>
      <c r="X24" s="30">
        <f>ROUND($X$18*$A$24,2)</f>
        <v>5450</v>
      </c>
      <c r="Y24" s="30">
        <f t="shared" si="16"/>
        <v>7566.04</v>
      </c>
      <c r="AA24" s="30">
        <f t="shared" si="23"/>
        <v>750</v>
      </c>
      <c r="AB24" s="30">
        <f t="shared" si="17"/>
        <v>1415.34</v>
      </c>
      <c r="AC24" s="30">
        <f>ROUND($AC$18*$A$24,2)</f>
        <v>5445</v>
      </c>
      <c r="AD24" s="30">
        <f t="shared" si="19"/>
        <v>7610.34</v>
      </c>
      <c r="AE24" s="30">
        <f t="shared" si="20"/>
        <v>2668.77</v>
      </c>
      <c r="AF24" s="30">
        <f t="shared" si="21"/>
        <v>-282.61</v>
      </c>
      <c r="AG24" s="63"/>
    </row>
    <row r="25" spans="1:36" x14ac:dyDescent="0.25">
      <c r="A25" s="44"/>
      <c r="B25" s="140">
        <v>0.5</v>
      </c>
      <c r="C25" s="44">
        <f>A24*(365.25/12)*B25</f>
        <v>7609.375</v>
      </c>
      <c r="D25" s="92">
        <f t="shared" si="0"/>
        <v>8476.73</v>
      </c>
      <c r="E25" s="92">
        <f t="shared" si="1"/>
        <v>8553.91</v>
      </c>
      <c r="F25" s="96">
        <f t="shared" si="2"/>
        <v>4447.95</v>
      </c>
      <c r="G25" s="28">
        <f t="shared" si="3"/>
        <v>-4370.7700000000004</v>
      </c>
      <c r="H25" s="29">
        <f t="shared" si="4"/>
        <v>-0.51559999999999995</v>
      </c>
      <c r="I25" s="28">
        <f t="shared" si="5"/>
        <v>29865.98</v>
      </c>
      <c r="J25" s="28">
        <f t="shared" si="6"/>
        <v>52.41</v>
      </c>
      <c r="K25" s="28">
        <f t="shared" si="7"/>
        <v>2091.15</v>
      </c>
      <c r="L25" s="28">
        <f t="shared" si="8"/>
        <v>44934.220000000008</v>
      </c>
      <c r="M25" s="28">
        <f t="shared" si="9"/>
        <v>40563.450000000004</v>
      </c>
      <c r="N25" s="29">
        <f t="shared" si="10"/>
        <v>-9.7299999999999998E-2</v>
      </c>
      <c r="O25" s="28">
        <f t="shared" si="11"/>
        <v>-471.02</v>
      </c>
      <c r="P25" s="28">
        <f t="shared" si="12"/>
        <v>40092.430000000008</v>
      </c>
      <c r="Q25" s="29">
        <f t="shared" si="13"/>
        <v>-0.10780000000000001</v>
      </c>
      <c r="V25" s="30">
        <f t="shared" si="22"/>
        <v>750</v>
      </c>
      <c r="W25" s="30">
        <f t="shared" si="14"/>
        <v>2276.73</v>
      </c>
      <c r="X25" s="30">
        <f t="shared" ref="X25:X26" si="24">ROUND($X$18*$A$24,2)</f>
        <v>5450</v>
      </c>
      <c r="Y25" s="30">
        <f t="shared" si="16"/>
        <v>8476.73</v>
      </c>
      <c r="AA25" s="30">
        <f t="shared" si="23"/>
        <v>750</v>
      </c>
      <c r="AB25" s="30">
        <f t="shared" si="17"/>
        <v>2358.91</v>
      </c>
      <c r="AC25" s="30">
        <f t="shared" ref="AC25:AC26" si="25">ROUND($AC$18*$A$24,2)</f>
        <v>5445</v>
      </c>
      <c r="AD25" s="30">
        <f t="shared" si="19"/>
        <v>8553.91</v>
      </c>
      <c r="AE25" s="30">
        <f t="shared" si="20"/>
        <v>4447.95</v>
      </c>
      <c r="AF25" s="30">
        <f t="shared" si="21"/>
        <v>-471.02</v>
      </c>
    </row>
    <row r="26" spans="1:36" x14ac:dyDescent="0.25">
      <c r="A26" s="44"/>
      <c r="B26" s="140">
        <v>1</v>
      </c>
      <c r="C26" s="44">
        <f>A24*(365.25/12)*B26</f>
        <v>15218.75</v>
      </c>
      <c r="D26" s="92">
        <f t="shared" si="0"/>
        <v>10753.45</v>
      </c>
      <c r="E26" s="92">
        <f t="shared" si="1"/>
        <v>10912.810000000001</v>
      </c>
      <c r="F26" s="96">
        <f t="shared" si="2"/>
        <v>8895.91</v>
      </c>
      <c r="G26" s="28">
        <f t="shared" si="3"/>
        <v>-8736.5499999999993</v>
      </c>
      <c r="H26" s="29">
        <f t="shared" si="4"/>
        <v>-0.81240000000000001</v>
      </c>
      <c r="I26" s="28">
        <f t="shared" si="5"/>
        <v>59731.96</v>
      </c>
      <c r="J26" s="28">
        <f t="shared" si="6"/>
        <v>104.82</v>
      </c>
      <c r="K26" s="28">
        <f t="shared" si="7"/>
        <v>4182.3</v>
      </c>
      <c r="L26" s="28">
        <f t="shared" si="8"/>
        <v>83668.440000000017</v>
      </c>
      <c r="M26" s="28">
        <f t="shared" si="9"/>
        <v>74931.890000000014</v>
      </c>
      <c r="N26" s="29">
        <f t="shared" si="10"/>
        <v>-0.10440000000000001</v>
      </c>
      <c r="O26" s="28">
        <f t="shared" si="11"/>
        <v>-942.04</v>
      </c>
      <c r="P26" s="28">
        <f t="shared" si="12"/>
        <v>73989.85000000002</v>
      </c>
      <c r="Q26" s="29">
        <f t="shared" si="13"/>
        <v>-0.1157</v>
      </c>
      <c r="V26" s="30">
        <f t="shared" si="22"/>
        <v>750</v>
      </c>
      <c r="W26" s="30">
        <f t="shared" si="14"/>
        <v>4553.45</v>
      </c>
      <c r="X26" s="30">
        <f t="shared" si="24"/>
        <v>5450</v>
      </c>
      <c r="Y26" s="30">
        <f t="shared" si="16"/>
        <v>10753.45</v>
      </c>
      <c r="AA26" s="30">
        <f t="shared" si="23"/>
        <v>750</v>
      </c>
      <c r="AB26" s="30">
        <f t="shared" si="17"/>
        <v>4717.8100000000004</v>
      </c>
      <c r="AC26" s="30">
        <f t="shared" si="25"/>
        <v>5445</v>
      </c>
      <c r="AD26" s="30">
        <f t="shared" si="19"/>
        <v>10912.810000000001</v>
      </c>
      <c r="AE26" s="30">
        <f t="shared" si="20"/>
        <v>8895.91</v>
      </c>
      <c r="AF26" s="30">
        <f t="shared" si="21"/>
        <v>-942.04</v>
      </c>
      <c r="AG26" s="63"/>
    </row>
    <row r="27" spans="1:36" x14ac:dyDescent="0.25">
      <c r="A27" s="44"/>
      <c r="C27" s="44"/>
      <c r="D27" s="92"/>
      <c r="E27" s="92"/>
      <c r="F27" s="96"/>
      <c r="G27" s="28"/>
      <c r="H27" s="29"/>
      <c r="I27" s="28"/>
      <c r="J27" s="28"/>
      <c r="K27" s="28"/>
      <c r="L27" s="28"/>
      <c r="M27" s="28"/>
      <c r="N27" s="29"/>
      <c r="O27" s="28"/>
      <c r="P27" s="28"/>
      <c r="Q27" s="29"/>
      <c r="V27" s="30"/>
      <c r="W27" s="30"/>
      <c r="X27" s="30"/>
      <c r="Y27" s="30"/>
      <c r="AA27" s="30"/>
      <c r="AB27" s="30"/>
      <c r="AC27" s="30"/>
      <c r="AD27" s="30"/>
      <c r="AE27" s="30"/>
      <c r="AF27" s="30"/>
    </row>
    <row r="28" spans="1:36" x14ac:dyDescent="0.25">
      <c r="A28" s="44">
        <f>'SGSS - Commercial'!A28</f>
        <v>1000</v>
      </c>
      <c r="B28" s="140">
        <v>0.3</v>
      </c>
      <c r="C28" s="44">
        <f>A28*(365.25/12)*B28</f>
        <v>9131.25</v>
      </c>
      <c r="D28" s="92">
        <f t="shared" si="0"/>
        <v>14382.07</v>
      </c>
      <c r="E28" s="92">
        <f t="shared" si="1"/>
        <v>14470.69</v>
      </c>
      <c r="F28" s="96">
        <f t="shared" si="2"/>
        <v>5337.54</v>
      </c>
      <c r="G28" s="28">
        <f t="shared" si="3"/>
        <v>-5248.92</v>
      </c>
      <c r="H28" s="29">
        <f t="shared" si="4"/>
        <v>-0.36499999999999999</v>
      </c>
      <c r="I28" s="28">
        <f t="shared" si="5"/>
        <v>35839.18</v>
      </c>
      <c r="J28" s="28">
        <f t="shared" si="6"/>
        <v>62.89</v>
      </c>
      <c r="K28" s="28">
        <f t="shared" si="7"/>
        <v>2509.38</v>
      </c>
      <c r="L28" s="28">
        <f t="shared" si="8"/>
        <v>58131.06</v>
      </c>
      <c r="M28" s="28">
        <f t="shared" si="9"/>
        <v>52882.14</v>
      </c>
      <c r="N28" s="29">
        <f t="shared" si="10"/>
        <v>-9.0300000000000005E-2</v>
      </c>
      <c r="O28" s="28">
        <f t="shared" si="11"/>
        <v>-565.22</v>
      </c>
      <c r="P28" s="28">
        <f t="shared" si="12"/>
        <v>52316.92</v>
      </c>
      <c r="Q28" s="29">
        <f t="shared" si="13"/>
        <v>-0.1</v>
      </c>
      <c r="V28" s="30">
        <f t="shared" si="22"/>
        <v>750</v>
      </c>
      <c r="W28" s="30">
        <f t="shared" si="14"/>
        <v>2732.07</v>
      </c>
      <c r="X28" s="30">
        <f>ROUND($X$18*$A$28,2)</f>
        <v>10900</v>
      </c>
      <c r="Y28" s="30">
        <f t="shared" si="16"/>
        <v>14382.07</v>
      </c>
      <c r="AA28" s="30">
        <f t="shared" si="23"/>
        <v>750</v>
      </c>
      <c r="AB28" s="30">
        <f t="shared" si="17"/>
        <v>2830.69</v>
      </c>
      <c r="AC28" s="30">
        <f>ROUND($AC$18*$A$28,2)</f>
        <v>10890</v>
      </c>
      <c r="AD28" s="30">
        <f t="shared" si="19"/>
        <v>14470.69</v>
      </c>
      <c r="AE28" s="30">
        <f t="shared" si="20"/>
        <v>5337.54</v>
      </c>
      <c r="AF28" s="30">
        <f t="shared" si="21"/>
        <v>-565.22</v>
      </c>
      <c r="AG28" s="63"/>
    </row>
    <row r="29" spans="1:36" x14ac:dyDescent="0.25">
      <c r="A29" s="44"/>
      <c r="B29" s="140">
        <v>0.5</v>
      </c>
      <c r="C29" s="44">
        <f>A28*(365.25/12)*B29</f>
        <v>15218.75</v>
      </c>
      <c r="D29" s="92">
        <f t="shared" si="0"/>
        <v>16203.45</v>
      </c>
      <c r="E29" s="92">
        <f t="shared" si="1"/>
        <v>16357.810000000001</v>
      </c>
      <c r="F29" s="96">
        <f t="shared" si="2"/>
        <v>8895.91</v>
      </c>
      <c r="G29" s="28">
        <f t="shared" si="3"/>
        <v>-8741.5499999999993</v>
      </c>
      <c r="H29" s="29">
        <f t="shared" si="4"/>
        <v>-0.53949999999999998</v>
      </c>
      <c r="I29" s="28">
        <f t="shared" si="5"/>
        <v>59731.96</v>
      </c>
      <c r="J29" s="28">
        <f t="shared" si="6"/>
        <v>104.82</v>
      </c>
      <c r="K29" s="28">
        <f t="shared" si="7"/>
        <v>4182.3</v>
      </c>
      <c r="L29" s="28">
        <f t="shared" si="8"/>
        <v>89118.440000000017</v>
      </c>
      <c r="M29" s="28">
        <f t="shared" si="9"/>
        <v>80376.890000000014</v>
      </c>
      <c r="N29" s="29">
        <f t="shared" si="10"/>
        <v>-9.8100000000000007E-2</v>
      </c>
      <c r="O29" s="28">
        <f t="shared" si="11"/>
        <v>-942.04</v>
      </c>
      <c r="P29" s="28">
        <f t="shared" si="12"/>
        <v>79434.85000000002</v>
      </c>
      <c r="Q29" s="29">
        <f t="shared" si="13"/>
        <v>-0.1087</v>
      </c>
      <c r="V29" s="30">
        <f t="shared" si="22"/>
        <v>750</v>
      </c>
      <c r="W29" s="30">
        <f t="shared" si="14"/>
        <v>4553.45</v>
      </c>
      <c r="X29" s="30">
        <f t="shared" ref="X29:X30" si="26">ROUND($X$18*$A$28,2)</f>
        <v>10900</v>
      </c>
      <c r="Y29" s="30">
        <f t="shared" si="16"/>
        <v>16203.45</v>
      </c>
      <c r="AA29" s="30">
        <f t="shared" si="23"/>
        <v>750</v>
      </c>
      <c r="AB29" s="30">
        <f t="shared" si="17"/>
        <v>4717.8100000000004</v>
      </c>
      <c r="AC29" s="30">
        <f t="shared" ref="AC29:AC30" si="27">ROUND($AC$18*$A$28,2)</f>
        <v>10890</v>
      </c>
      <c r="AD29" s="30">
        <f t="shared" si="19"/>
        <v>16357.810000000001</v>
      </c>
      <c r="AE29" s="30">
        <f t="shared" si="20"/>
        <v>8895.91</v>
      </c>
      <c r="AF29" s="30">
        <f t="shared" si="21"/>
        <v>-942.04</v>
      </c>
    </row>
    <row r="30" spans="1:36" x14ac:dyDescent="0.25">
      <c r="A30" s="44"/>
      <c r="B30" s="140">
        <v>1</v>
      </c>
      <c r="C30" s="44">
        <f>A28*(365.25/12)*B30</f>
        <v>30437.5</v>
      </c>
      <c r="D30" s="92">
        <f t="shared" si="0"/>
        <v>20756.900000000001</v>
      </c>
      <c r="E30" s="92">
        <f t="shared" si="1"/>
        <v>21075.629999999997</v>
      </c>
      <c r="F30" s="96">
        <f t="shared" si="2"/>
        <v>17791.810000000001</v>
      </c>
      <c r="G30" s="28">
        <f t="shared" si="3"/>
        <v>-17473.080000000009</v>
      </c>
      <c r="H30" s="29">
        <f t="shared" si="4"/>
        <v>-0.84179999999999999</v>
      </c>
      <c r="I30" s="28">
        <f t="shared" si="5"/>
        <v>119463.93</v>
      </c>
      <c r="J30" s="28">
        <f t="shared" si="6"/>
        <v>209.64</v>
      </c>
      <c r="K30" s="28">
        <f t="shared" si="7"/>
        <v>8364.6</v>
      </c>
      <c r="L30" s="28">
        <f t="shared" si="8"/>
        <v>166586.88000000003</v>
      </c>
      <c r="M30" s="28">
        <f t="shared" si="9"/>
        <v>149113.80000000002</v>
      </c>
      <c r="N30" s="29">
        <f t="shared" si="10"/>
        <v>-0.10489999999999999</v>
      </c>
      <c r="O30" s="28">
        <f t="shared" si="11"/>
        <v>-1884.08</v>
      </c>
      <c r="P30" s="28">
        <f t="shared" si="12"/>
        <v>147229.72000000003</v>
      </c>
      <c r="Q30" s="29">
        <f t="shared" si="13"/>
        <v>-0.1162</v>
      </c>
      <c r="V30" s="30">
        <f t="shared" si="22"/>
        <v>750</v>
      </c>
      <c r="W30" s="30">
        <f t="shared" si="14"/>
        <v>9106.9</v>
      </c>
      <c r="X30" s="30">
        <f t="shared" si="26"/>
        <v>10900</v>
      </c>
      <c r="Y30" s="30">
        <f t="shared" si="16"/>
        <v>20756.900000000001</v>
      </c>
      <c r="AA30" s="30">
        <f t="shared" si="23"/>
        <v>750</v>
      </c>
      <c r="AB30" s="30">
        <f t="shared" si="17"/>
        <v>9435.6299999999992</v>
      </c>
      <c r="AC30" s="30">
        <f t="shared" si="27"/>
        <v>10890</v>
      </c>
      <c r="AD30" s="30">
        <f t="shared" si="19"/>
        <v>21075.629999999997</v>
      </c>
      <c r="AE30" s="30">
        <f t="shared" si="20"/>
        <v>17791.810000000001</v>
      </c>
      <c r="AF30" s="30">
        <f t="shared" si="21"/>
        <v>-1884.08</v>
      </c>
      <c r="AG30" s="63"/>
    </row>
    <row r="31" spans="1:36" x14ac:dyDescent="0.25">
      <c r="A31" s="44"/>
      <c r="C31" s="44"/>
      <c r="D31" s="92"/>
      <c r="E31" s="92"/>
      <c r="F31" s="96"/>
      <c r="G31" s="28"/>
      <c r="H31" s="29"/>
      <c r="I31" s="28"/>
      <c r="J31" s="28"/>
      <c r="K31" s="28"/>
      <c r="L31" s="28"/>
      <c r="M31" s="28"/>
      <c r="N31" s="29"/>
      <c r="O31" s="28"/>
      <c r="P31" s="28"/>
      <c r="Q31" s="29"/>
      <c r="V31" s="30"/>
      <c r="W31" s="30"/>
      <c r="X31" s="30"/>
      <c r="Y31" s="30"/>
      <c r="AA31" s="30"/>
      <c r="AB31" s="30"/>
      <c r="AC31" s="30"/>
      <c r="AD31" s="30"/>
      <c r="AE31" s="30"/>
      <c r="AF31" s="30"/>
    </row>
    <row r="32" spans="1:36" x14ac:dyDescent="0.25">
      <c r="A32" s="44">
        <f>'SGSS - Commercial'!A32</f>
        <v>2500</v>
      </c>
      <c r="B32" s="140">
        <v>0.3</v>
      </c>
      <c r="C32" s="44">
        <f>A32*(365.25/12)*B32</f>
        <v>22828.125</v>
      </c>
      <c r="D32" s="92">
        <f t="shared" si="0"/>
        <v>34830.18</v>
      </c>
      <c r="E32" s="92">
        <f t="shared" si="1"/>
        <v>35051.72</v>
      </c>
      <c r="F32" s="96">
        <f t="shared" si="2"/>
        <v>13343.86</v>
      </c>
      <c r="G32" s="28">
        <f t="shared" si="3"/>
        <v>-13122.32</v>
      </c>
      <c r="H32" s="29">
        <f t="shared" si="4"/>
        <v>-0.37680000000000002</v>
      </c>
      <c r="I32" s="28">
        <f t="shared" si="5"/>
        <v>89597.94</v>
      </c>
      <c r="J32" s="28">
        <f t="shared" si="6"/>
        <v>157.22999999999999</v>
      </c>
      <c r="K32" s="28">
        <f t="shared" si="7"/>
        <v>6273.45</v>
      </c>
      <c r="L32" s="28">
        <f t="shared" si="8"/>
        <v>144202.66000000003</v>
      </c>
      <c r="M32" s="28">
        <f t="shared" si="9"/>
        <v>131080.34</v>
      </c>
      <c r="N32" s="29">
        <f t="shared" si="10"/>
        <v>-9.0999999999999998E-2</v>
      </c>
      <c r="O32" s="28">
        <f t="shared" si="11"/>
        <v>-1413.06</v>
      </c>
      <c r="P32" s="28">
        <f t="shared" si="12"/>
        <v>129667.28</v>
      </c>
      <c r="Q32" s="29">
        <f t="shared" si="13"/>
        <v>-0.1008</v>
      </c>
      <c r="V32" s="30">
        <f t="shared" si="22"/>
        <v>750</v>
      </c>
      <c r="W32" s="30">
        <f t="shared" si="14"/>
        <v>6830.18</v>
      </c>
      <c r="X32" s="30">
        <f>ROUND($X$18*$A$32,2)</f>
        <v>27250</v>
      </c>
      <c r="Y32" s="30">
        <f t="shared" si="16"/>
        <v>34830.18</v>
      </c>
      <c r="AA32" s="30">
        <f t="shared" si="23"/>
        <v>750</v>
      </c>
      <c r="AB32" s="30">
        <f t="shared" si="17"/>
        <v>7076.72</v>
      </c>
      <c r="AC32" s="30">
        <f>ROUND($AC$18*$A$32,2)</f>
        <v>27225</v>
      </c>
      <c r="AD32" s="30">
        <f t="shared" si="19"/>
        <v>35051.72</v>
      </c>
      <c r="AE32" s="30">
        <f t="shared" si="20"/>
        <v>13343.86</v>
      </c>
      <c r="AF32" s="30">
        <f t="shared" si="21"/>
        <v>-1413.06</v>
      </c>
      <c r="AG32" s="63"/>
    </row>
    <row r="33" spans="1:33" x14ac:dyDescent="0.25">
      <c r="A33" s="44"/>
      <c r="B33" s="140">
        <v>0.5</v>
      </c>
      <c r="C33" s="44">
        <f>A32*(365.25/12)*B33</f>
        <v>38046.875</v>
      </c>
      <c r="D33" s="92">
        <f t="shared" si="0"/>
        <v>39383.629999999997</v>
      </c>
      <c r="E33" s="92">
        <f t="shared" si="1"/>
        <v>39769.53</v>
      </c>
      <c r="F33" s="96">
        <f t="shared" si="2"/>
        <v>22239.759999999998</v>
      </c>
      <c r="G33" s="28">
        <f t="shared" si="3"/>
        <v>-21853.86</v>
      </c>
      <c r="H33" s="29">
        <f t="shared" si="4"/>
        <v>-0.55489999999999995</v>
      </c>
      <c r="I33" s="28">
        <f t="shared" si="5"/>
        <v>149329.91</v>
      </c>
      <c r="J33" s="28">
        <f t="shared" si="6"/>
        <v>262.05</v>
      </c>
      <c r="K33" s="28">
        <f t="shared" si="7"/>
        <v>10455.75</v>
      </c>
      <c r="L33" s="28">
        <f t="shared" si="8"/>
        <v>221671.09999999998</v>
      </c>
      <c r="M33" s="28">
        <f t="shared" si="9"/>
        <v>199817.24</v>
      </c>
      <c r="N33" s="29">
        <f t="shared" si="10"/>
        <v>-9.8599999999999993E-2</v>
      </c>
      <c r="O33" s="28">
        <f t="shared" si="11"/>
        <v>-2355.1</v>
      </c>
      <c r="P33" s="28">
        <f t="shared" si="12"/>
        <v>197462.13999999998</v>
      </c>
      <c r="Q33" s="29">
        <f t="shared" si="13"/>
        <v>-0.10920000000000001</v>
      </c>
      <c r="V33" s="30">
        <f t="shared" si="22"/>
        <v>750</v>
      </c>
      <c r="W33" s="30">
        <f t="shared" si="14"/>
        <v>11383.63</v>
      </c>
      <c r="X33" s="30">
        <f t="shared" ref="X33:X34" si="28">ROUND($X$18*$A$32,2)</f>
        <v>27250</v>
      </c>
      <c r="Y33" s="30">
        <f t="shared" si="16"/>
        <v>39383.629999999997</v>
      </c>
      <c r="AA33" s="30">
        <f t="shared" si="23"/>
        <v>750</v>
      </c>
      <c r="AB33" s="30">
        <f t="shared" si="17"/>
        <v>11794.53</v>
      </c>
      <c r="AC33" s="30">
        <f t="shared" ref="AC33:AC34" si="29">ROUND($AC$18*$A$32,2)</f>
        <v>27225</v>
      </c>
      <c r="AD33" s="30">
        <f t="shared" si="19"/>
        <v>39769.53</v>
      </c>
      <c r="AE33" s="30">
        <f t="shared" si="20"/>
        <v>22239.759999999998</v>
      </c>
      <c r="AF33" s="30">
        <f t="shared" si="21"/>
        <v>-2355.1</v>
      </c>
    </row>
    <row r="34" spans="1:33" x14ac:dyDescent="0.25">
      <c r="A34" s="44"/>
      <c r="B34" s="140">
        <v>1</v>
      </c>
      <c r="C34" s="44">
        <f>A32*(365.25/12)*B34</f>
        <v>76093.75</v>
      </c>
      <c r="D34" s="92">
        <f t="shared" si="0"/>
        <v>50767.25</v>
      </c>
      <c r="E34" s="92">
        <f t="shared" si="1"/>
        <v>51564.06</v>
      </c>
      <c r="F34" s="96">
        <f t="shared" si="2"/>
        <v>44479.53</v>
      </c>
      <c r="G34" s="28">
        <f t="shared" si="3"/>
        <v>-43682.720000000001</v>
      </c>
      <c r="H34" s="29">
        <f t="shared" si="4"/>
        <v>-0.86050000000000004</v>
      </c>
      <c r="I34" s="28">
        <f t="shared" si="5"/>
        <v>298659.82</v>
      </c>
      <c r="J34" s="28">
        <f t="shared" si="6"/>
        <v>524.1</v>
      </c>
      <c r="K34" s="28">
        <f t="shared" si="7"/>
        <v>20911.5</v>
      </c>
      <c r="L34" s="28">
        <f t="shared" si="8"/>
        <v>415342.19999999995</v>
      </c>
      <c r="M34" s="28">
        <f t="shared" si="9"/>
        <v>371659.48</v>
      </c>
      <c r="N34" s="29">
        <f t="shared" si="10"/>
        <v>-0.1052</v>
      </c>
      <c r="O34" s="28">
        <f t="shared" si="11"/>
        <v>-4710.2</v>
      </c>
      <c r="P34" s="28">
        <f t="shared" si="12"/>
        <v>366949.27999999997</v>
      </c>
      <c r="Q34" s="29">
        <f t="shared" si="13"/>
        <v>-0.11650000000000001</v>
      </c>
      <c r="V34" s="30">
        <f t="shared" si="22"/>
        <v>750</v>
      </c>
      <c r="W34" s="30">
        <f t="shared" si="14"/>
        <v>22767.25</v>
      </c>
      <c r="X34" s="30">
        <f t="shared" si="28"/>
        <v>27250</v>
      </c>
      <c r="Y34" s="30">
        <f t="shared" si="16"/>
        <v>50767.25</v>
      </c>
      <c r="AA34" s="30">
        <f t="shared" si="23"/>
        <v>750</v>
      </c>
      <c r="AB34" s="30">
        <f t="shared" si="17"/>
        <v>23589.06</v>
      </c>
      <c r="AC34" s="30">
        <f t="shared" si="29"/>
        <v>27225</v>
      </c>
      <c r="AD34" s="30">
        <f t="shared" si="19"/>
        <v>51564.06</v>
      </c>
      <c r="AE34" s="30">
        <f t="shared" si="20"/>
        <v>44479.53</v>
      </c>
      <c r="AF34" s="30">
        <f t="shared" si="21"/>
        <v>-4710.2</v>
      </c>
      <c r="AG34" s="63"/>
    </row>
    <row r="35" spans="1:33" x14ac:dyDescent="0.25">
      <c r="A35" s="44"/>
      <c r="C35" s="44"/>
      <c r="D35" s="92"/>
      <c r="E35" s="92"/>
      <c r="F35" s="96"/>
      <c r="G35" s="28"/>
      <c r="H35" s="29"/>
      <c r="I35" s="28"/>
      <c r="J35" s="28"/>
      <c r="K35" s="28"/>
      <c r="L35" s="28"/>
      <c r="M35" s="28"/>
      <c r="N35" s="29"/>
      <c r="O35" s="28"/>
      <c r="P35" s="28"/>
      <c r="Q35" s="29"/>
      <c r="V35" s="30"/>
      <c r="W35" s="30"/>
      <c r="X35" s="30"/>
      <c r="Y35" s="30"/>
      <c r="AA35" s="30"/>
      <c r="AB35" s="30"/>
      <c r="AC35" s="30"/>
      <c r="AD35" s="30"/>
      <c r="AE35" s="30"/>
      <c r="AF35" s="30"/>
      <c r="AG35" s="63"/>
    </row>
    <row r="36" spans="1:33" x14ac:dyDescent="0.25">
      <c r="A36" s="44">
        <f>'SGSS - Commercial'!A36</f>
        <v>5000</v>
      </c>
      <c r="B36" s="140">
        <v>0.3</v>
      </c>
      <c r="C36" s="44">
        <f>A36*(365.25/12)*B36</f>
        <v>45656.25</v>
      </c>
      <c r="D36" s="92">
        <f t="shared" si="0"/>
        <v>68910.350000000006</v>
      </c>
      <c r="E36" s="92">
        <f t="shared" si="1"/>
        <v>69353.440000000002</v>
      </c>
      <c r="F36" s="96">
        <f t="shared" si="2"/>
        <v>26687.72</v>
      </c>
      <c r="G36" s="28">
        <f t="shared" si="3"/>
        <v>-26244.630000000005</v>
      </c>
      <c r="H36" s="29">
        <f t="shared" si="4"/>
        <v>-0.38090000000000002</v>
      </c>
      <c r="I36" s="28">
        <f t="shared" si="5"/>
        <v>179195.89</v>
      </c>
      <c r="J36" s="28">
        <f t="shared" si="6"/>
        <v>314.45999999999998</v>
      </c>
      <c r="K36" s="28">
        <f t="shared" si="7"/>
        <v>12546.9</v>
      </c>
      <c r="L36" s="28">
        <f t="shared" si="8"/>
        <v>287655.32000000007</v>
      </c>
      <c r="M36" s="28">
        <f t="shared" si="9"/>
        <v>261410.69</v>
      </c>
      <c r="N36" s="29">
        <f t="shared" si="10"/>
        <v>-9.1200000000000003E-2</v>
      </c>
      <c r="O36" s="28">
        <f t="shared" si="11"/>
        <v>-2826.12</v>
      </c>
      <c r="P36" s="28">
        <f t="shared" si="12"/>
        <v>258584.57</v>
      </c>
      <c r="Q36" s="29">
        <f t="shared" si="13"/>
        <v>-0.1011</v>
      </c>
      <c r="V36" s="30">
        <f t="shared" si="22"/>
        <v>750</v>
      </c>
      <c r="W36" s="30">
        <f t="shared" si="14"/>
        <v>13660.35</v>
      </c>
      <c r="X36" s="30">
        <f>ROUND($X$18*$A$36,2)</f>
        <v>54500</v>
      </c>
      <c r="Y36" s="30">
        <f t="shared" si="16"/>
        <v>68910.350000000006</v>
      </c>
      <c r="AA36" s="30">
        <f t="shared" si="23"/>
        <v>750</v>
      </c>
      <c r="AB36" s="30">
        <f t="shared" si="17"/>
        <v>14153.44</v>
      </c>
      <c r="AC36" s="30">
        <f>ROUND($AC$18*$A$36,2)</f>
        <v>54450</v>
      </c>
      <c r="AD36" s="30">
        <f t="shared" si="19"/>
        <v>69353.440000000002</v>
      </c>
      <c r="AE36" s="30">
        <f t="shared" si="20"/>
        <v>26687.72</v>
      </c>
      <c r="AF36" s="30">
        <f t="shared" si="21"/>
        <v>-2826.12</v>
      </c>
      <c r="AG36" s="63"/>
    </row>
    <row r="37" spans="1:33" x14ac:dyDescent="0.25">
      <c r="B37" s="140">
        <v>0.5</v>
      </c>
      <c r="C37" s="44">
        <f>A36*(365.25/12)*B37</f>
        <v>76093.75</v>
      </c>
      <c r="D37" s="92">
        <f t="shared" si="0"/>
        <v>78017.25</v>
      </c>
      <c r="E37" s="92">
        <f t="shared" si="1"/>
        <v>78789.06</v>
      </c>
      <c r="F37" s="96">
        <f t="shared" si="2"/>
        <v>44479.53</v>
      </c>
      <c r="G37" s="28">
        <f t="shared" si="3"/>
        <v>-43707.72</v>
      </c>
      <c r="H37" s="29">
        <f t="shared" si="4"/>
        <v>-0.56020000000000003</v>
      </c>
      <c r="I37" s="28">
        <f t="shared" si="5"/>
        <v>298659.82</v>
      </c>
      <c r="J37" s="28">
        <f t="shared" si="6"/>
        <v>524.1</v>
      </c>
      <c r="K37" s="28">
        <f t="shared" si="7"/>
        <v>20911.5</v>
      </c>
      <c r="L37" s="28">
        <f t="shared" si="8"/>
        <v>442592.19999999995</v>
      </c>
      <c r="M37" s="28">
        <f t="shared" si="9"/>
        <v>398884.48</v>
      </c>
      <c r="N37" s="29">
        <f t="shared" si="10"/>
        <v>-9.8799999999999999E-2</v>
      </c>
      <c r="O37" s="28">
        <f t="shared" si="11"/>
        <v>-4710.2</v>
      </c>
      <c r="P37" s="28">
        <f t="shared" si="12"/>
        <v>394174.27999999997</v>
      </c>
      <c r="Q37" s="29">
        <f t="shared" si="13"/>
        <v>-0.1094</v>
      </c>
      <c r="V37" s="30">
        <f t="shared" si="22"/>
        <v>750</v>
      </c>
      <c r="W37" s="30">
        <f t="shared" si="14"/>
        <v>22767.25</v>
      </c>
      <c r="X37" s="30">
        <f t="shared" ref="X37:X38" si="30">ROUND($X$18*$A$36,2)</f>
        <v>54500</v>
      </c>
      <c r="Y37" s="30">
        <f t="shared" si="16"/>
        <v>78017.25</v>
      </c>
      <c r="AA37" s="30">
        <f t="shared" si="23"/>
        <v>750</v>
      </c>
      <c r="AB37" s="30">
        <f t="shared" si="17"/>
        <v>23589.06</v>
      </c>
      <c r="AC37" s="30">
        <f t="shared" ref="AC37:AC38" si="31">ROUND($AC$18*$A$36,2)</f>
        <v>54450</v>
      </c>
      <c r="AD37" s="30">
        <f t="shared" si="19"/>
        <v>78789.06</v>
      </c>
      <c r="AE37" s="30">
        <f t="shared" si="20"/>
        <v>44479.53</v>
      </c>
      <c r="AF37" s="30">
        <f t="shared" si="21"/>
        <v>-4710.2</v>
      </c>
      <c r="AG37" s="63"/>
    </row>
    <row r="38" spans="1:33" x14ac:dyDescent="0.25">
      <c r="B38" s="140">
        <v>1</v>
      </c>
      <c r="C38" s="44">
        <f>A36*(365.25/12)*B38</f>
        <v>152187.5</v>
      </c>
      <c r="D38" s="92">
        <f t="shared" si="0"/>
        <v>100784.5</v>
      </c>
      <c r="E38" s="92">
        <f t="shared" si="1"/>
        <v>102378.13</v>
      </c>
      <c r="F38" s="96">
        <f t="shared" si="2"/>
        <v>88959.06</v>
      </c>
      <c r="G38" s="28">
        <f t="shared" si="3"/>
        <v>-87365.43</v>
      </c>
      <c r="H38" s="29">
        <f t="shared" si="4"/>
        <v>-0.8669</v>
      </c>
      <c r="I38" s="28">
        <f t="shared" si="5"/>
        <v>597319.63</v>
      </c>
      <c r="J38" s="28">
        <f t="shared" si="6"/>
        <v>1048.21</v>
      </c>
      <c r="K38" s="28">
        <f t="shared" si="7"/>
        <v>41823.01</v>
      </c>
      <c r="L38" s="28">
        <f t="shared" si="8"/>
        <v>829934.40999999992</v>
      </c>
      <c r="M38" s="28">
        <f t="shared" si="9"/>
        <v>742568.98</v>
      </c>
      <c r="N38" s="29">
        <f t="shared" si="10"/>
        <v>-0.1053</v>
      </c>
      <c r="O38" s="28">
        <f t="shared" si="11"/>
        <v>-9420.41</v>
      </c>
      <c r="P38" s="28">
        <f t="shared" si="12"/>
        <v>733148.57</v>
      </c>
      <c r="Q38" s="29">
        <f t="shared" si="13"/>
        <v>-0.1166</v>
      </c>
      <c r="V38" s="30">
        <f t="shared" si="22"/>
        <v>750</v>
      </c>
      <c r="W38" s="30">
        <f t="shared" si="14"/>
        <v>45534.5</v>
      </c>
      <c r="X38" s="30">
        <f t="shared" si="30"/>
        <v>54500</v>
      </c>
      <c r="Y38" s="30">
        <f t="shared" si="16"/>
        <v>100784.5</v>
      </c>
      <c r="AA38" s="30">
        <f t="shared" si="23"/>
        <v>750</v>
      </c>
      <c r="AB38" s="30">
        <f t="shared" si="17"/>
        <v>47178.13</v>
      </c>
      <c r="AC38" s="30">
        <f t="shared" si="31"/>
        <v>54450</v>
      </c>
      <c r="AD38" s="30">
        <f t="shared" si="19"/>
        <v>102378.13</v>
      </c>
      <c r="AE38" s="30">
        <f t="shared" si="20"/>
        <v>88959.06</v>
      </c>
      <c r="AF38" s="30">
        <f t="shared" si="21"/>
        <v>-9420.41</v>
      </c>
      <c r="AG38" s="63"/>
    </row>
    <row r="39" spans="1:33" x14ac:dyDescent="0.25">
      <c r="G39" s="2"/>
      <c r="L39" s="27"/>
      <c r="M39" s="27"/>
      <c r="N39" s="27"/>
      <c r="O39" s="27"/>
      <c r="P39" s="27"/>
      <c r="Q39" s="27"/>
    </row>
    <row r="40" spans="1:33" x14ac:dyDescent="0.25">
      <c r="A40" s="26" t="s">
        <v>85</v>
      </c>
      <c r="D40" s="43"/>
      <c r="E40" s="44"/>
      <c r="F40" s="44"/>
      <c r="L40" s="28"/>
      <c r="M40" s="28"/>
      <c r="N40" s="29"/>
      <c r="O40" s="29"/>
      <c r="P40" s="29"/>
      <c r="Q40" s="29"/>
    </row>
    <row r="41" spans="1:33" x14ac:dyDescent="0.25">
      <c r="A41" s="46" t="str">
        <f>("Forecast Period Average Usage = "&amp;INPUT!K17&amp;" Mcf per month")</f>
        <v>Forecast Period Average Usage = 0 Mcf per month</v>
      </c>
      <c r="H41" s="26" t="s">
        <v>117</v>
      </c>
    </row>
    <row r="42" spans="1:33" x14ac:dyDescent="0.25">
      <c r="A42" s="46" t="str">
        <f>("Forecast Period Average Demand = "&amp;INPUT!E62&amp;" Mcf per month")</f>
        <v>Forecast Period Average Demand = 0 Mcf per month</v>
      </c>
    </row>
    <row r="43" spans="1:33" x14ac:dyDescent="0.25">
      <c r="A43" s="47" t="s">
        <v>125</v>
      </c>
    </row>
    <row r="44" spans="1:33" x14ac:dyDescent="0.25">
      <c r="A44" s="60" t="str">
        <f>+'Rate Case Constants'!$C$26</f>
        <v>Calculations may vary from other schedules due to rounding</v>
      </c>
    </row>
  </sheetData>
  <mergeCells count="6">
    <mergeCell ref="W4:AH4"/>
    <mergeCell ref="I15:K15"/>
    <mergeCell ref="A1:Q1"/>
    <mergeCell ref="A2:Q2"/>
    <mergeCell ref="A3:Q3"/>
    <mergeCell ref="A4:Q4"/>
  </mergeCells>
  <printOptions horizontalCentered="1"/>
  <pageMargins left="0.75" right="0.75" top="1.5" bottom="0.5" header="1" footer="0.5"/>
  <pageSetup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J52"/>
  <sheetViews>
    <sheetView zoomScale="70" zoomScaleNormal="70" zoomScaleSheetLayoutView="80" workbookViewId="0">
      <selection sqref="A1:Q1"/>
    </sheetView>
  </sheetViews>
  <sheetFormatPr defaultColWidth="9.1796875" defaultRowHeight="12.5" x14ac:dyDescent="0.25"/>
  <cols>
    <col min="1" max="1" width="9.26953125" style="26" bestFit="1" customWidth="1"/>
    <col min="2" max="2" width="7.90625" style="26" bestFit="1" customWidth="1"/>
    <col min="3" max="3" width="9.7265625" style="26" customWidth="1"/>
    <col min="4" max="8" width="12" style="26" customWidth="1"/>
    <col min="9" max="9" width="12.26953125" style="26" customWidth="1"/>
    <col min="10" max="11" width="12" style="26" customWidth="1"/>
    <col min="12" max="12" width="12.7265625" style="26" bestFit="1" customWidth="1"/>
    <col min="13" max="13" width="13.1796875" style="26" customWidth="1"/>
    <col min="14" max="17" width="12" style="26" customWidth="1"/>
    <col min="18" max="21" width="4.26953125" style="26" customWidth="1"/>
    <col min="22" max="22" width="13.54296875" style="26" customWidth="1"/>
    <col min="23" max="23" width="10.81640625" style="26" bestFit="1" customWidth="1"/>
    <col min="24" max="24" width="10.81640625" style="26" customWidth="1"/>
    <col min="25" max="25" width="11.7265625" style="26" customWidth="1"/>
    <col min="26" max="26" width="9.1796875" style="26"/>
    <col min="27" max="27" width="14.54296875" style="26" customWidth="1"/>
    <col min="28" max="28" width="10.81640625" style="26" bestFit="1" customWidth="1"/>
    <col min="29" max="29" width="10.81640625" style="26" customWidth="1"/>
    <col min="30" max="30" width="10.7265625" style="26" customWidth="1"/>
    <col min="31" max="31" width="15.54296875" style="26" bestFit="1" customWidth="1"/>
    <col min="32" max="32" width="15.1796875" style="26" bestFit="1" customWidth="1"/>
    <col min="33" max="33" width="12.26953125" style="26" customWidth="1"/>
    <col min="34" max="16384" width="9.1796875" style="26"/>
  </cols>
  <sheetData>
    <row r="1" spans="1:36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36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spans="1:36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36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W4" s="156"/>
      <c r="X4" s="156"/>
      <c r="Y4" s="157"/>
      <c r="Z4" s="157"/>
      <c r="AA4" s="157"/>
      <c r="AB4" s="157"/>
      <c r="AC4" s="157"/>
      <c r="AD4" s="157"/>
      <c r="AE4" s="157"/>
      <c r="AF4" s="157"/>
      <c r="AG4" s="157"/>
      <c r="AH4" s="157"/>
    </row>
    <row r="5" spans="1:36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36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36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O7" s="74"/>
      <c r="P7" s="74"/>
      <c r="Q7" s="74" t="str">
        <f>+'Rate Case Constants'!C25</f>
        <v>SCHEDULE N (Gas)</v>
      </c>
    </row>
    <row r="8" spans="1:36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O8" s="75"/>
      <c r="P8" s="75"/>
      <c r="Q8" s="75" t="str">
        <f>+'Rate Case Constants'!I20</f>
        <v>PAGE 13 OF 13</v>
      </c>
    </row>
    <row r="9" spans="1:36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O9" s="74"/>
      <c r="P9" s="74"/>
      <c r="Q9" s="74" t="str">
        <f>+'Rate Case Constants'!C36</f>
        <v>WITNESS:   R. M. CONROY</v>
      </c>
      <c r="W9" s="26" t="s">
        <v>174</v>
      </c>
    </row>
    <row r="10" spans="1:36" ht="13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85"/>
      <c r="O10" s="85"/>
      <c r="P10" s="85"/>
      <c r="Q10" s="85"/>
      <c r="R10" s="69"/>
      <c r="S10" s="69"/>
      <c r="T10" s="69"/>
      <c r="U10" s="69"/>
      <c r="V10" s="108" t="s">
        <v>26</v>
      </c>
      <c r="W10" s="54">
        <f>INPUT!I47</f>
        <v>0</v>
      </c>
      <c r="X10" s="1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</row>
    <row r="11" spans="1:36" ht="13" x14ac:dyDescent="0.3">
      <c r="A11" s="80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69"/>
      <c r="S11" s="69"/>
      <c r="T11" s="69"/>
      <c r="U11" s="69"/>
      <c r="V11" s="108" t="s">
        <v>23</v>
      </c>
      <c r="W11" s="54">
        <f>INPUT!J47</f>
        <v>0</v>
      </c>
      <c r="X11" s="54"/>
      <c r="Y11" s="12"/>
      <c r="Z11" s="12"/>
      <c r="AA11" s="18"/>
      <c r="AB11" s="12"/>
      <c r="AC11" s="12"/>
      <c r="AD11" s="12"/>
      <c r="AE11" s="12"/>
      <c r="AF11" s="12"/>
      <c r="AG11" s="27"/>
      <c r="AH11" s="27"/>
      <c r="AI11" s="27"/>
      <c r="AJ11" s="27"/>
    </row>
    <row r="12" spans="1:36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V12" s="21" t="s">
        <v>27</v>
      </c>
      <c r="W12" s="54">
        <f>INPUT!K47</f>
        <v>6.8403497366761479E-3</v>
      </c>
      <c r="X12" s="50"/>
      <c r="Y12" s="12"/>
      <c r="Z12" s="12"/>
      <c r="AA12" s="12"/>
      <c r="AB12" s="12"/>
      <c r="AC12" s="12"/>
      <c r="AD12" s="12"/>
      <c r="AE12" s="12"/>
      <c r="AF12" s="12"/>
      <c r="AG12" s="27"/>
      <c r="AH12" s="27"/>
      <c r="AI12" s="27"/>
      <c r="AJ12" s="27"/>
    </row>
    <row r="13" spans="1:36" ht="13" x14ac:dyDescent="0.3">
      <c r="A13" s="12"/>
      <c r="B13" s="12"/>
      <c r="C13" s="12"/>
      <c r="D13" s="13" t="s">
        <v>68</v>
      </c>
      <c r="E13" s="14" t="s">
        <v>76</v>
      </c>
      <c r="F13" s="14" t="s">
        <v>69</v>
      </c>
      <c r="G13" s="14" t="s">
        <v>70</v>
      </c>
      <c r="H13" s="13" t="s">
        <v>71</v>
      </c>
      <c r="I13" s="13" t="s">
        <v>72</v>
      </c>
      <c r="J13" s="13" t="s">
        <v>77</v>
      </c>
      <c r="K13" s="14" t="s">
        <v>73</v>
      </c>
      <c r="L13" s="13" t="s">
        <v>74</v>
      </c>
      <c r="M13" s="13" t="s">
        <v>75</v>
      </c>
      <c r="N13" s="13" t="s">
        <v>139</v>
      </c>
      <c r="O13" s="13" t="s">
        <v>140</v>
      </c>
      <c r="P13" s="13" t="s">
        <v>141</v>
      </c>
      <c r="Q13" s="13" t="s">
        <v>142</v>
      </c>
      <c r="V13" s="12"/>
      <c r="W13" s="12"/>
      <c r="X13" s="12"/>
      <c r="Y13" s="12"/>
      <c r="Z13" s="12"/>
      <c r="AG13" s="27"/>
      <c r="AH13" s="27"/>
      <c r="AI13" s="27"/>
      <c r="AJ13" s="27"/>
    </row>
    <row r="14" spans="1:36" ht="13" x14ac:dyDescent="0.3">
      <c r="A14" s="27"/>
      <c r="B14" s="27"/>
      <c r="C14" s="27"/>
      <c r="D14" s="62" t="s">
        <v>92</v>
      </c>
      <c r="E14" s="62" t="s">
        <v>92</v>
      </c>
      <c r="F14" s="62" t="s">
        <v>27</v>
      </c>
      <c r="G14" s="27"/>
      <c r="H14" s="27"/>
      <c r="I14" s="27"/>
      <c r="J14" s="27"/>
      <c r="K14" s="27"/>
      <c r="L14" s="13" t="s">
        <v>18</v>
      </c>
      <c r="M14" s="13" t="s">
        <v>18</v>
      </c>
      <c r="N14" s="27"/>
      <c r="O14" s="13" t="s">
        <v>175</v>
      </c>
      <c r="P14" s="13" t="s">
        <v>18</v>
      </c>
      <c r="Q14" s="13"/>
      <c r="V14" s="19" t="s">
        <v>0</v>
      </c>
      <c r="W14" s="19"/>
      <c r="X14" s="19"/>
      <c r="Y14" s="19"/>
      <c r="Z14" s="27"/>
      <c r="AA14" s="19" t="s">
        <v>17</v>
      </c>
      <c r="AB14" s="19"/>
      <c r="AC14" s="19"/>
      <c r="AD14" s="19"/>
      <c r="AE14" s="137" t="s">
        <v>155</v>
      </c>
      <c r="AF14" s="19"/>
      <c r="AG14" s="27"/>
      <c r="AH14" s="27"/>
      <c r="AI14" s="27"/>
      <c r="AJ14" s="27"/>
    </row>
    <row r="15" spans="1:36" ht="13" x14ac:dyDescent="0.3">
      <c r="A15" s="27"/>
      <c r="B15" s="23" t="s">
        <v>177</v>
      </c>
      <c r="C15" s="27"/>
      <c r="D15" s="13" t="s">
        <v>13</v>
      </c>
      <c r="E15" s="13" t="s">
        <v>19</v>
      </c>
      <c r="F15" s="13" t="s">
        <v>152</v>
      </c>
      <c r="G15" s="13"/>
      <c r="H15" s="13"/>
      <c r="I15" s="148" t="s">
        <v>20</v>
      </c>
      <c r="J15" s="148"/>
      <c r="K15" s="149"/>
      <c r="L15" s="13" t="s">
        <v>13</v>
      </c>
      <c r="M15" s="13" t="s">
        <v>19</v>
      </c>
      <c r="N15" s="13"/>
      <c r="O15" s="13" t="s">
        <v>176</v>
      </c>
      <c r="P15" s="13" t="s">
        <v>19</v>
      </c>
      <c r="Q15" s="13"/>
      <c r="V15" s="154" t="s">
        <v>101</v>
      </c>
      <c r="W15" s="13"/>
      <c r="X15" s="13"/>
      <c r="Y15" s="14"/>
      <c r="Z15" s="27"/>
      <c r="AA15" s="152" t="s">
        <v>101</v>
      </c>
      <c r="AB15" s="13"/>
      <c r="AC15" s="13"/>
      <c r="AD15" s="14"/>
      <c r="AE15" s="14" t="s">
        <v>154</v>
      </c>
      <c r="AF15" s="14" t="s">
        <v>143</v>
      </c>
      <c r="AG15" s="27"/>
      <c r="AH15" s="27"/>
      <c r="AI15" s="27"/>
      <c r="AJ15" s="27"/>
    </row>
    <row r="16" spans="1:36" ht="13" x14ac:dyDescent="0.3">
      <c r="A16" s="23"/>
      <c r="B16" s="23" t="s">
        <v>159</v>
      </c>
      <c r="C16" s="23"/>
      <c r="D16" s="13" t="s">
        <v>21</v>
      </c>
      <c r="E16" s="13" t="s">
        <v>21</v>
      </c>
      <c r="F16" s="13" t="s">
        <v>153</v>
      </c>
      <c r="G16" s="13" t="s">
        <v>22</v>
      </c>
      <c r="H16" s="13" t="s">
        <v>22</v>
      </c>
      <c r="I16" s="13" t="s">
        <v>26</v>
      </c>
      <c r="J16" s="13" t="s">
        <v>23</v>
      </c>
      <c r="K16" s="13" t="s">
        <v>27</v>
      </c>
      <c r="L16" s="13" t="s">
        <v>21</v>
      </c>
      <c r="M16" s="13" t="s">
        <v>21</v>
      </c>
      <c r="N16" s="13" t="s">
        <v>22</v>
      </c>
      <c r="O16" s="13" t="s">
        <v>143</v>
      </c>
      <c r="P16" s="13" t="s">
        <v>144</v>
      </c>
      <c r="Q16" s="13" t="s">
        <v>22</v>
      </c>
      <c r="V16" s="155"/>
      <c r="W16" s="13" t="s">
        <v>93</v>
      </c>
      <c r="X16" s="13" t="s">
        <v>87</v>
      </c>
      <c r="Y16" s="14" t="s">
        <v>18</v>
      </c>
      <c r="Z16" s="27"/>
      <c r="AA16" s="155"/>
      <c r="AB16" s="13" t="s">
        <v>93</v>
      </c>
      <c r="AC16" s="13" t="s">
        <v>87</v>
      </c>
      <c r="AD16" s="14" t="s">
        <v>18</v>
      </c>
      <c r="AE16" s="14">
        <f>INPUT!L47</f>
        <v>1.4549671953849475E-2</v>
      </c>
      <c r="AF16" s="14">
        <f>INPUT!L34</f>
        <v>-6.1899999999999997E-2</v>
      </c>
      <c r="AG16" s="17"/>
      <c r="AH16" s="13"/>
      <c r="AI16" s="13"/>
      <c r="AJ16" s="13"/>
    </row>
    <row r="17" spans="1:36" ht="13" x14ac:dyDescent="0.3">
      <c r="A17" s="23" t="s">
        <v>124</v>
      </c>
      <c r="B17" s="23" t="s">
        <v>160</v>
      </c>
      <c r="C17" s="23" t="s">
        <v>123</v>
      </c>
      <c r="D17" s="13"/>
      <c r="E17" s="13"/>
      <c r="F17" s="76"/>
      <c r="G17" s="13" t="s">
        <v>24</v>
      </c>
      <c r="H17" s="14" t="s">
        <v>25</v>
      </c>
      <c r="I17" s="15"/>
      <c r="J17" s="15"/>
      <c r="K17" s="16"/>
      <c r="L17" s="13" t="s">
        <v>24</v>
      </c>
      <c r="M17" s="13" t="s">
        <v>24</v>
      </c>
      <c r="N17" s="14" t="s">
        <v>25</v>
      </c>
      <c r="O17" s="77"/>
      <c r="P17" s="77" t="s">
        <v>143</v>
      </c>
      <c r="Q17" s="77" t="s">
        <v>25</v>
      </c>
      <c r="V17" s="153"/>
      <c r="W17" s="87" t="s">
        <v>31</v>
      </c>
      <c r="X17" s="87" t="s">
        <v>31</v>
      </c>
      <c r="Y17" s="86" t="s">
        <v>21</v>
      </c>
      <c r="Z17" s="27"/>
      <c r="AA17" s="153"/>
      <c r="AB17" s="87" t="s">
        <v>31</v>
      </c>
      <c r="AC17" s="87" t="s">
        <v>31</v>
      </c>
      <c r="AD17" s="86" t="s">
        <v>21</v>
      </c>
      <c r="AE17" s="120" t="s">
        <v>147</v>
      </c>
      <c r="AF17" s="120" t="s">
        <v>147</v>
      </c>
      <c r="AG17" s="17"/>
      <c r="AH17" s="13"/>
      <c r="AI17" s="13"/>
      <c r="AJ17" s="13"/>
    </row>
    <row r="18" spans="1:36" ht="13" x14ac:dyDescent="0.3">
      <c r="A18" s="139"/>
      <c r="B18" s="139"/>
      <c r="C18" s="139"/>
      <c r="D18" s="87"/>
      <c r="E18" s="87"/>
      <c r="F18" s="121"/>
      <c r="G18" s="116" t="str">
        <f>("[ "&amp;E13&amp;" - ("&amp;F13&amp;" + "&amp;D13&amp;") ]")</f>
        <v>[ B - (C + A) ]</v>
      </c>
      <c r="H18" s="116" t="str">
        <f>("[ "&amp;G13&amp;" / "&amp;D13&amp;" ]")</f>
        <v>[ D / A ]</v>
      </c>
      <c r="I18" s="117"/>
      <c r="J18" s="117"/>
      <c r="K18" s="117"/>
      <c r="L18" s="116" t="str">
        <f>("["&amp;D13&amp;"+"&amp;F13&amp;"+"&amp;$I$13&amp;"+"&amp;$J$13&amp;"+"&amp;$K$13&amp;"]")</f>
        <v>[A+C+F+G+H]</v>
      </c>
      <c r="M18" s="116" t="str">
        <f>("["&amp;E13&amp;"+"&amp;I13&amp;"+"&amp;J13&amp;"+"&amp;K13&amp;"]")</f>
        <v>[B+F+G+H]</v>
      </c>
      <c r="N18" s="121" t="str">
        <f>("[("&amp;M13&amp;" - "&amp;L13&amp;") / "&amp;L13&amp;"]")</f>
        <v>[(J - I) / I]</v>
      </c>
      <c r="O18" s="121"/>
      <c r="P18" s="121" t="s">
        <v>145</v>
      </c>
      <c r="Q18" s="121" t="s">
        <v>146</v>
      </c>
      <c r="V18" s="14"/>
      <c r="W18" s="20">
        <f>+INPUT!$L$9</f>
        <v>3.7999999999999999E-2</v>
      </c>
      <c r="X18" s="20">
        <f>+INPUT!$L$12</f>
        <v>4.8899999999999997</v>
      </c>
      <c r="Y18" s="14"/>
      <c r="Z18" s="27"/>
      <c r="AA18" s="14"/>
      <c r="AB18" s="20">
        <f>+INPUT!$L$27</f>
        <v>4.5600000000000002E-2</v>
      </c>
      <c r="AC18" s="20">
        <f>+INPUT!$L$30</f>
        <v>7.78</v>
      </c>
      <c r="AD18" s="14"/>
      <c r="AE18" s="14"/>
      <c r="AF18" s="14"/>
      <c r="AG18" s="17"/>
      <c r="AH18" s="13"/>
      <c r="AI18" s="13"/>
      <c r="AJ18" s="13"/>
    </row>
    <row r="19" spans="1:36" ht="13" x14ac:dyDescent="0.3">
      <c r="A19" s="23"/>
      <c r="C19" s="23"/>
      <c r="D19" s="13"/>
      <c r="E19" s="13"/>
      <c r="F19" s="13"/>
      <c r="G19" s="2"/>
      <c r="H19" s="13"/>
      <c r="I19" s="13"/>
      <c r="J19" s="13"/>
      <c r="K19" s="13"/>
      <c r="L19" s="14"/>
      <c r="M19" s="14"/>
      <c r="N19" s="14"/>
      <c r="O19" s="14"/>
      <c r="P19" s="14"/>
      <c r="Q19" s="14"/>
      <c r="V19" s="14"/>
      <c r="W19" s="14" t="s">
        <v>94</v>
      </c>
      <c r="X19" s="13" t="s">
        <v>88</v>
      </c>
      <c r="Y19" s="14"/>
      <c r="Z19" s="27"/>
      <c r="AA19" s="14"/>
      <c r="AB19" s="14" t="s">
        <v>94</v>
      </c>
      <c r="AC19" s="13" t="s">
        <v>88</v>
      </c>
      <c r="AD19" s="14"/>
      <c r="AE19" s="14"/>
      <c r="AF19" s="14"/>
      <c r="AG19" s="17"/>
      <c r="AH19" s="13"/>
      <c r="AI19" s="13"/>
      <c r="AJ19" s="13"/>
    </row>
    <row r="20" spans="1:36" x14ac:dyDescent="0.25">
      <c r="A20" s="44">
        <v>100</v>
      </c>
      <c r="B20" s="140">
        <v>0.3</v>
      </c>
      <c r="C20" s="44">
        <f>A20*(365.25/12)*B20</f>
        <v>913.125</v>
      </c>
      <c r="D20" s="28">
        <f>+Y20</f>
        <v>1823.7</v>
      </c>
      <c r="E20" s="92">
        <f>+AD20</f>
        <v>2119.6400000000003</v>
      </c>
      <c r="F20" s="96">
        <f>AE20</f>
        <v>13.29</v>
      </c>
      <c r="G20" s="28">
        <f>+E20-(F20+D20)</f>
        <v>282.65000000000032</v>
      </c>
      <c r="H20" s="29">
        <f>ROUND(G20/D20,4)</f>
        <v>0.155</v>
      </c>
      <c r="I20" s="28">
        <f>ROUND($C20*$W$10,2)</f>
        <v>0</v>
      </c>
      <c r="J20" s="28">
        <f>ROUND($C20*$W$11,2)</f>
        <v>0</v>
      </c>
      <c r="K20" s="28">
        <f>ROUND($C20*$W$12,2)</f>
        <v>6.25</v>
      </c>
      <c r="L20" s="28">
        <f>+D20+F20+I20+J20+K20</f>
        <v>1843.24</v>
      </c>
      <c r="M20" s="28">
        <f>+E20+I20+J20+K20</f>
        <v>2125.8900000000003</v>
      </c>
      <c r="N20" s="29">
        <f>ROUND((M20-L20)/L20,4)</f>
        <v>0.15329999999999999</v>
      </c>
      <c r="O20" s="28">
        <f>AF20</f>
        <v>-56.52</v>
      </c>
      <c r="P20" s="28">
        <f>M20+O20</f>
        <v>2069.3700000000003</v>
      </c>
      <c r="Q20" s="29">
        <f>ROUND((P20-L20)/L20,4)</f>
        <v>0.1227</v>
      </c>
      <c r="V20" s="30">
        <f>+INPUT!$L$5+INPUT!$L$14</f>
        <v>1300</v>
      </c>
      <c r="W20" s="30">
        <f>ROUND($W$18*$C20,2)</f>
        <v>34.700000000000003</v>
      </c>
      <c r="X20" s="30">
        <f>ROUND($X$18*$A$20,2)</f>
        <v>489</v>
      </c>
      <c r="Y20" s="30">
        <f>SUM(V20:X20)</f>
        <v>1823.7</v>
      </c>
      <c r="AA20" s="30">
        <f>+INPUT!$L$22+INPUT!$L$32</f>
        <v>1300</v>
      </c>
      <c r="AB20" s="30">
        <f>ROUND($AB$18*$C20,2)</f>
        <v>41.64</v>
      </c>
      <c r="AC20" s="30">
        <f>ROUND($AC$18*$A$20,2)</f>
        <v>778</v>
      </c>
      <c r="AD20" s="30">
        <f>SUM(AA20:AC20)</f>
        <v>2119.6400000000003</v>
      </c>
      <c r="AE20" s="30">
        <f>ROUND($AE$16*C20,2)</f>
        <v>13.29</v>
      </c>
      <c r="AF20" s="30">
        <f>ROUND($AF$16*C20,2)</f>
        <v>-56.52</v>
      </c>
      <c r="AG20" s="63"/>
    </row>
    <row r="21" spans="1:36" x14ac:dyDescent="0.25">
      <c r="A21" s="44"/>
      <c r="B21" s="140">
        <v>0.5</v>
      </c>
      <c r="C21" s="44">
        <f>A20*(365.25/12)*B21</f>
        <v>1521.875</v>
      </c>
      <c r="D21" s="28">
        <f t="shared" ref="D21:D38" si="0">+Y21</f>
        <v>1846.83</v>
      </c>
      <c r="E21" s="92">
        <f t="shared" ref="E21:E38" si="1">+AD21</f>
        <v>2147.4</v>
      </c>
      <c r="F21" s="96">
        <f t="shared" ref="F21:F38" si="2">AE21</f>
        <v>22.14</v>
      </c>
      <c r="G21" s="28">
        <f t="shared" ref="G21:G38" si="3">+E21-(F21+D21)</f>
        <v>278.43000000000006</v>
      </c>
      <c r="H21" s="29">
        <f t="shared" ref="H21:H38" si="4">ROUND(G21/D21,4)</f>
        <v>0.15079999999999999</v>
      </c>
      <c r="I21" s="28">
        <f t="shared" ref="I21:I38" si="5">ROUND($C21*$W$10,2)</f>
        <v>0</v>
      </c>
      <c r="J21" s="28">
        <f t="shared" ref="J21:J38" si="6">ROUND($C21*$W$11,2)</f>
        <v>0</v>
      </c>
      <c r="K21" s="28">
        <f t="shared" ref="K21:K38" si="7">ROUND($C21*$W$12,2)</f>
        <v>10.41</v>
      </c>
      <c r="L21" s="28">
        <f t="shared" ref="L21:L38" si="8">+D21+F21+I21+J21+K21</f>
        <v>1879.38</v>
      </c>
      <c r="M21" s="28">
        <f t="shared" ref="M21:M38" si="9">+E21+I21+J21+K21</f>
        <v>2157.81</v>
      </c>
      <c r="N21" s="29">
        <f t="shared" ref="N21:N38" si="10">ROUND((M21-L21)/L21,4)</f>
        <v>0.14810000000000001</v>
      </c>
      <c r="O21" s="28">
        <f t="shared" ref="O21:O38" si="11">AF21</f>
        <v>-94.2</v>
      </c>
      <c r="P21" s="28">
        <f t="shared" ref="P21:P38" si="12">M21+O21</f>
        <v>2063.61</v>
      </c>
      <c r="Q21" s="29">
        <f t="shared" ref="Q21:Q38" si="13">ROUND((P21-L21)/L21,4)</f>
        <v>9.8000000000000004E-2</v>
      </c>
      <c r="V21" s="30">
        <f>$V$20</f>
        <v>1300</v>
      </c>
      <c r="W21" s="30">
        <f t="shared" ref="W21:W38" si="14">ROUND($W$18*$C21,2)</f>
        <v>57.83</v>
      </c>
      <c r="X21" s="30">
        <f t="shared" ref="X21:X22" si="15">ROUND($X$18*$A$20,2)</f>
        <v>489</v>
      </c>
      <c r="Y21" s="30">
        <f t="shared" ref="Y21:Y38" si="16">SUM(V21:X21)</f>
        <v>1846.83</v>
      </c>
      <c r="AA21" s="30">
        <f>$AA$20</f>
        <v>1300</v>
      </c>
      <c r="AB21" s="30">
        <f t="shared" ref="AB21:AB38" si="17">ROUND($AB$18*$C21,2)</f>
        <v>69.400000000000006</v>
      </c>
      <c r="AC21" s="30">
        <f t="shared" ref="AC21:AC22" si="18">ROUND($AC$18*$A$20,2)</f>
        <v>778</v>
      </c>
      <c r="AD21" s="30">
        <f t="shared" ref="AD21:AD38" si="19">SUM(AA21:AC21)</f>
        <v>2147.4</v>
      </c>
      <c r="AE21" s="30">
        <f t="shared" ref="AE21:AE38" si="20">ROUND($AE$16*C21,2)</f>
        <v>22.14</v>
      </c>
      <c r="AF21" s="30">
        <f t="shared" ref="AF21:AF38" si="21">ROUND($AF$16*C21,2)</f>
        <v>-94.2</v>
      </c>
    </row>
    <row r="22" spans="1:36" x14ac:dyDescent="0.25">
      <c r="A22" s="44"/>
      <c r="B22" s="140">
        <v>1</v>
      </c>
      <c r="C22" s="44">
        <f>A20*(365.25/12)*B22</f>
        <v>3043.75</v>
      </c>
      <c r="D22" s="28">
        <f t="shared" si="0"/>
        <v>1904.66</v>
      </c>
      <c r="E22" s="92">
        <f t="shared" si="1"/>
        <v>2216.8000000000002</v>
      </c>
      <c r="F22" s="96">
        <f t="shared" si="2"/>
        <v>44.29</v>
      </c>
      <c r="G22" s="28">
        <f t="shared" si="3"/>
        <v>267.85000000000014</v>
      </c>
      <c r="H22" s="29">
        <f t="shared" si="4"/>
        <v>0.1406</v>
      </c>
      <c r="I22" s="28">
        <f t="shared" si="5"/>
        <v>0</v>
      </c>
      <c r="J22" s="28">
        <f t="shared" si="6"/>
        <v>0</v>
      </c>
      <c r="K22" s="28">
        <f t="shared" si="7"/>
        <v>20.82</v>
      </c>
      <c r="L22" s="28">
        <f t="shared" si="8"/>
        <v>1969.77</v>
      </c>
      <c r="M22" s="28">
        <f t="shared" si="9"/>
        <v>2237.6200000000003</v>
      </c>
      <c r="N22" s="29">
        <f t="shared" si="10"/>
        <v>0.13600000000000001</v>
      </c>
      <c r="O22" s="28">
        <f t="shared" si="11"/>
        <v>-188.41</v>
      </c>
      <c r="P22" s="28">
        <f t="shared" si="12"/>
        <v>2049.2100000000005</v>
      </c>
      <c r="Q22" s="29">
        <f t="shared" si="13"/>
        <v>4.0300000000000002E-2</v>
      </c>
      <c r="V22" s="30">
        <f t="shared" ref="V22:V38" si="22">$V$20</f>
        <v>1300</v>
      </c>
      <c r="W22" s="30">
        <f t="shared" si="14"/>
        <v>115.66</v>
      </c>
      <c r="X22" s="30">
        <f t="shared" si="15"/>
        <v>489</v>
      </c>
      <c r="Y22" s="30">
        <f t="shared" si="16"/>
        <v>1904.66</v>
      </c>
      <c r="AA22" s="30">
        <f t="shared" ref="AA22:AA38" si="23">$AA$20</f>
        <v>1300</v>
      </c>
      <c r="AB22" s="30">
        <f t="shared" si="17"/>
        <v>138.80000000000001</v>
      </c>
      <c r="AC22" s="30">
        <f t="shared" si="18"/>
        <v>778</v>
      </c>
      <c r="AD22" s="30">
        <f t="shared" si="19"/>
        <v>2216.8000000000002</v>
      </c>
      <c r="AE22" s="30">
        <f t="shared" si="20"/>
        <v>44.29</v>
      </c>
      <c r="AF22" s="30">
        <f t="shared" si="21"/>
        <v>-188.41</v>
      </c>
      <c r="AG22" s="63"/>
    </row>
    <row r="23" spans="1:36" x14ac:dyDescent="0.25">
      <c r="A23" s="44"/>
      <c r="C23" s="44"/>
      <c r="D23" s="28"/>
      <c r="E23" s="92"/>
      <c r="F23" s="96"/>
      <c r="G23" s="28"/>
      <c r="H23" s="29"/>
      <c r="I23" s="28"/>
      <c r="J23" s="28"/>
      <c r="K23" s="28"/>
      <c r="L23" s="28"/>
      <c r="M23" s="28"/>
      <c r="N23" s="29"/>
      <c r="O23" s="28"/>
      <c r="P23" s="28"/>
      <c r="Q23" s="29"/>
      <c r="V23" s="30"/>
      <c r="W23" s="30"/>
      <c r="X23" s="30"/>
      <c r="Y23" s="30"/>
      <c r="AA23" s="30"/>
      <c r="AB23" s="30"/>
      <c r="AC23" s="30"/>
      <c r="AD23" s="30"/>
      <c r="AE23" s="30"/>
      <c r="AF23" s="30"/>
    </row>
    <row r="24" spans="1:36" x14ac:dyDescent="0.25">
      <c r="A24" s="44">
        <v>500</v>
      </c>
      <c r="B24" s="140">
        <v>0.3</v>
      </c>
      <c r="C24" s="44">
        <f>A24*(365.25/12)*B24</f>
        <v>4565.625</v>
      </c>
      <c r="D24" s="28">
        <f t="shared" si="0"/>
        <v>3918.49</v>
      </c>
      <c r="E24" s="92">
        <f t="shared" si="1"/>
        <v>5398.1900000000005</v>
      </c>
      <c r="F24" s="96">
        <f t="shared" si="2"/>
        <v>66.430000000000007</v>
      </c>
      <c r="G24" s="28">
        <f t="shared" si="3"/>
        <v>1413.2700000000009</v>
      </c>
      <c r="H24" s="29">
        <f t="shared" si="4"/>
        <v>0.36070000000000002</v>
      </c>
      <c r="I24" s="28">
        <f t="shared" si="5"/>
        <v>0</v>
      </c>
      <c r="J24" s="28">
        <f t="shared" si="6"/>
        <v>0</v>
      </c>
      <c r="K24" s="28">
        <f t="shared" si="7"/>
        <v>31.23</v>
      </c>
      <c r="L24" s="28">
        <f t="shared" si="8"/>
        <v>4016.1499999999996</v>
      </c>
      <c r="M24" s="28">
        <f t="shared" si="9"/>
        <v>5429.42</v>
      </c>
      <c r="N24" s="29">
        <f t="shared" si="10"/>
        <v>0.35189999999999999</v>
      </c>
      <c r="O24" s="28">
        <f t="shared" si="11"/>
        <v>-282.61</v>
      </c>
      <c r="P24" s="28">
        <f t="shared" si="12"/>
        <v>5146.8100000000004</v>
      </c>
      <c r="Q24" s="29">
        <f t="shared" si="13"/>
        <v>0.28149999999999997</v>
      </c>
      <c r="V24" s="30">
        <f t="shared" si="22"/>
        <v>1300</v>
      </c>
      <c r="W24" s="30">
        <f t="shared" si="14"/>
        <v>173.49</v>
      </c>
      <c r="X24" s="30">
        <f>ROUND($X$18*$A$24,2)</f>
        <v>2445</v>
      </c>
      <c r="Y24" s="30">
        <f t="shared" si="16"/>
        <v>3918.49</v>
      </c>
      <c r="AA24" s="30">
        <f t="shared" si="23"/>
        <v>1300</v>
      </c>
      <c r="AB24" s="30">
        <f t="shared" si="17"/>
        <v>208.19</v>
      </c>
      <c r="AC24" s="30">
        <f>ROUND($AC$18*$A$24,2)</f>
        <v>3890</v>
      </c>
      <c r="AD24" s="30">
        <f t="shared" si="19"/>
        <v>5398.1900000000005</v>
      </c>
      <c r="AE24" s="30">
        <f t="shared" si="20"/>
        <v>66.430000000000007</v>
      </c>
      <c r="AF24" s="30">
        <f t="shared" si="21"/>
        <v>-282.61</v>
      </c>
      <c r="AG24" s="63"/>
    </row>
    <row r="25" spans="1:36" x14ac:dyDescent="0.25">
      <c r="A25" s="44"/>
      <c r="B25" s="140">
        <v>0.5</v>
      </c>
      <c r="C25" s="44">
        <f>A24*(365.25/12)*B25</f>
        <v>7609.375</v>
      </c>
      <c r="D25" s="28">
        <f t="shared" si="0"/>
        <v>4034.16</v>
      </c>
      <c r="E25" s="92">
        <f t="shared" si="1"/>
        <v>5536.99</v>
      </c>
      <c r="F25" s="96">
        <f t="shared" si="2"/>
        <v>110.71</v>
      </c>
      <c r="G25" s="28">
        <f t="shared" si="3"/>
        <v>1392.12</v>
      </c>
      <c r="H25" s="29">
        <f t="shared" si="4"/>
        <v>0.34510000000000002</v>
      </c>
      <c r="I25" s="28">
        <f t="shared" si="5"/>
        <v>0</v>
      </c>
      <c r="J25" s="28">
        <f t="shared" si="6"/>
        <v>0</v>
      </c>
      <c r="K25" s="28">
        <f t="shared" si="7"/>
        <v>52.05</v>
      </c>
      <c r="L25" s="28">
        <f t="shared" si="8"/>
        <v>4196.92</v>
      </c>
      <c r="M25" s="28">
        <f t="shared" si="9"/>
        <v>5589.04</v>
      </c>
      <c r="N25" s="29">
        <f t="shared" si="10"/>
        <v>0.33169999999999999</v>
      </c>
      <c r="O25" s="28">
        <f t="shared" si="11"/>
        <v>-471.02</v>
      </c>
      <c r="P25" s="28">
        <f t="shared" si="12"/>
        <v>5118.0200000000004</v>
      </c>
      <c r="Q25" s="29">
        <f t="shared" si="13"/>
        <v>0.2195</v>
      </c>
      <c r="V25" s="30">
        <f t="shared" si="22"/>
        <v>1300</v>
      </c>
      <c r="W25" s="30">
        <f t="shared" si="14"/>
        <v>289.16000000000003</v>
      </c>
      <c r="X25" s="30">
        <f t="shared" ref="X25:X26" si="24">ROUND($X$18*$A$24,2)</f>
        <v>2445</v>
      </c>
      <c r="Y25" s="30">
        <f t="shared" si="16"/>
        <v>4034.16</v>
      </c>
      <c r="AA25" s="30">
        <f t="shared" si="23"/>
        <v>1300</v>
      </c>
      <c r="AB25" s="30">
        <f t="shared" si="17"/>
        <v>346.99</v>
      </c>
      <c r="AC25" s="30">
        <f t="shared" ref="AC25:AC26" si="25">ROUND($AC$18*$A$24,2)</f>
        <v>3890</v>
      </c>
      <c r="AD25" s="30">
        <f t="shared" si="19"/>
        <v>5536.99</v>
      </c>
      <c r="AE25" s="30">
        <f t="shared" si="20"/>
        <v>110.71</v>
      </c>
      <c r="AF25" s="30">
        <f t="shared" si="21"/>
        <v>-471.02</v>
      </c>
    </row>
    <row r="26" spans="1:36" x14ac:dyDescent="0.25">
      <c r="A26" s="44"/>
      <c r="B26" s="140">
        <v>1</v>
      </c>
      <c r="C26" s="44">
        <f>A24*(365.25/12)*B26</f>
        <v>15218.75</v>
      </c>
      <c r="D26" s="28">
        <f t="shared" si="0"/>
        <v>4323.3099999999995</v>
      </c>
      <c r="E26" s="92">
        <f t="shared" si="1"/>
        <v>5883.98</v>
      </c>
      <c r="F26" s="96">
        <f t="shared" si="2"/>
        <v>221.43</v>
      </c>
      <c r="G26" s="28">
        <f t="shared" si="3"/>
        <v>1339.2399999999998</v>
      </c>
      <c r="H26" s="29">
        <f t="shared" si="4"/>
        <v>0.30980000000000002</v>
      </c>
      <c r="I26" s="28">
        <f t="shared" si="5"/>
        <v>0</v>
      </c>
      <c r="J26" s="28">
        <f t="shared" si="6"/>
        <v>0</v>
      </c>
      <c r="K26" s="28">
        <f t="shared" si="7"/>
        <v>104.1</v>
      </c>
      <c r="L26" s="28">
        <f t="shared" si="8"/>
        <v>4648.84</v>
      </c>
      <c r="M26" s="28">
        <f t="shared" si="9"/>
        <v>5988.08</v>
      </c>
      <c r="N26" s="29">
        <f t="shared" si="10"/>
        <v>0.28810000000000002</v>
      </c>
      <c r="O26" s="28">
        <f t="shared" si="11"/>
        <v>-942.04</v>
      </c>
      <c r="P26" s="28">
        <f t="shared" si="12"/>
        <v>5046.04</v>
      </c>
      <c r="Q26" s="29">
        <f t="shared" si="13"/>
        <v>8.5400000000000004E-2</v>
      </c>
      <c r="V26" s="30">
        <f t="shared" si="22"/>
        <v>1300</v>
      </c>
      <c r="W26" s="30">
        <f t="shared" si="14"/>
        <v>578.30999999999995</v>
      </c>
      <c r="X26" s="30">
        <f t="shared" si="24"/>
        <v>2445</v>
      </c>
      <c r="Y26" s="30">
        <f t="shared" si="16"/>
        <v>4323.3099999999995</v>
      </c>
      <c r="AA26" s="30">
        <f t="shared" si="23"/>
        <v>1300</v>
      </c>
      <c r="AB26" s="30">
        <f t="shared" si="17"/>
        <v>693.98</v>
      </c>
      <c r="AC26" s="30">
        <f t="shared" si="25"/>
        <v>3890</v>
      </c>
      <c r="AD26" s="30">
        <f t="shared" si="19"/>
        <v>5883.98</v>
      </c>
      <c r="AE26" s="30">
        <f t="shared" si="20"/>
        <v>221.43</v>
      </c>
      <c r="AF26" s="30">
        <f t="shared" si="21"/>
        <v>-942.04</v>
      </c>
      <c r="AG26" s="63"/>
    </row>
    <row r="27" spans="1:36" x14ac:dyDescent="0.25">
      <c r="A27" s="44"/>
      <c r="C27" s="44"/>
      <c r="D27" s="28"/>
      <c r="E27" s="92"/>
      <c r="F27" s="96"/>
      <c r="G27" s="28"/>
      <c r="H27" s="29"/>
      <c r="I27" s="28"/>
      <c r="J27" s="28"/>
      <c r="K27" s="28"/>
      <c r="L27" s="28"/>
      <c r="M27" s="28"/>
      <c r="N27" s="29"/>
      <c r="O27" s="28"/>
      <c r="P27" s="28"/>
      <c r="Q27" s="29"/>
      <c r="V27" s="30"/>
      <c r="W27" s="30"/>
      <c r="X27" s="30"/>
      <c r="Y27" s="30"/>
      <c r="AA27" s="30"/>
      <c r="AB27" s="30"/>
      <c r="AC27" s="30"/>
      <c r="AD27" s="30"/>
      <c r="AE27" s="30"/>
      <c r="AF27" s="30"/>
    </row>
    <row r="28" spans="1:36" x14ac:dyDescent="0.25">
      <c r="A28" s="44">
        <v>1000</v>
      </c>
      <c r="B28" s="140">
        <v>0.3</v>
      </c>
      <c r="C28" s="44">
        <f>A28*(365.25/12)*B28</f>
        <v>9131.25</v>
      </c>
      <c r="D28" s="28">
        <f t="shared" si="0"/>
        <v>6536.99</v>
      </c>
      <c r="E28" s="92">
        <f t="shared" si="1"/>
        <v>9496.39</v>
      </c>
      <c r="F28" s="96">
        <f t="shared" si="2"/>
        <v>132.86000000000001</v>
      </c>
      <c r="G28" s="28">
        <f t="shared" si="3"/>
        <v>2826.54</v>
      </c>
      <c r="H28" s="29">
        <f t="shared" si="4"/>
        <v>0.43240000000000001</v>
      </c>
      <c r="I28" s="28">
        <f t="shared" si="5"/>
        <v>0</v>
      </c>
      <c r="J28" s="28">
        <f t="shared" si="6"/>
        <v>0</v>
      </c>
      <c r="K28" s="28">
        <f t="shared" si="7"/>
        <v>62.46</v>
      </c>
      <c r="L28" s="28">
        <f t="shared" si="8"/>
        <v>6732.3099999999995</v>
      </c>
      <c r="M28" s="28">
        <f t="shared" si="9"/>
        <v>9558.8499999999985</v>
      </c>
      <c r="N28" s="29">
        <f t="shared" si="10"/>
        <v>0.41980000000000001</v>
      </c>
      <c r="O28" s="28">
        <f t="shared" si="11"/>
        <v>-565.22</v>
      </c>
      <c r="P28" s="28">
        <f t="shared" si="12"/>
        <v>8993.6299999999992</v>
      </c>
      <c r="Q28" s="29">
        <f t="shared" si="13"/>
        <v>0.33589999999999998</v>
      </c>
      <c r="V28" s="30">
        <f t="shared" si="22"/>
        <v>1300</v>
      </c>
      <c r="W28" s="30">
        <f t="shared" si="14"/>
        <v>346.99</v>
      </c>
      <c r="X28" s="30">
        <f>ROUND($X$18*$A$28,2)</f>
        <v>4890</v>
      </c>
      <c r="Y28" s="30">
        <f t="shared" si="16"/>
        <v>6536.99</v>
      </c>
      <c r="AA28" s="30">
        <f t="shared" si="23"/>
        <v>1300</v>
      </c>
      <c r="AB28" s="30">
        <f t="shared" si="17"/>
        <v>416.39</v>
      </c>
      <c r="AC28" s="30">
        <f>ROUND($AC$18*$A$28,2)</f>
        <v>7780</v>
      </c>
      <c r="AD28" s="30">
        <f t="shared" si="19"/>
        <v>9496.39</v>
      </c>
      <c r="AE28" s="30">
        <f t="shared" si="20"/>
        <v>132.86000000000001</v>
      </c>
      <c r="AF28" s="30">
        <f t="shared" si="21"/>
        <v>-565.22</v>
      </c>
      <c r="AG28" s="63"/>
    </row>
    <row r="29" spans="1:36" x14ac:dyDescent="0.25">
      <c r="A29" s="44"/>
      <c r="B29" s="140">
        <v>0.5</v>
      </c>
      <c r="C29" s="44">
        <f>A28*(365.25/12)*B29</f>
        <v>15218.75</v>
      </c>
      <c r="D29" s="28">
        <f t="shared" si="0"/>
        <v>6768.3099999999995</v>
      </c>
      <c r="E29" s="92">
        <f t="shared" si="1"/>
        <v>9773.98</v>
      </c>
      <c r="F29" s="96">
        <f t="shared" si="2"/>
        <v>221.43</v>
      </c>
      <c r="G29" s="28">
        <f t="shared" si="3"/>
        <v>2784.24</v>
      </c>
      <c r="H29" s="29">
        <f t="shared" si="4"/>
        <v>0.41139999999999999</v>
      </c>
      <c r="I29" s="28">
        <f t="shared" si="5"/>
        <v>0</v>
      </c>
      <c r="J29" s="28">
        <f t="shared" si="6"/>
        <v>0</v>
      </c>
      <c r="K29" s="28">
        <f t="shared" si="7"/>
        <v>104.1</v>
      </c>
      <c r="L29" s="28">
        <f t="shared" si="8"/>
        <v>7093.84</v>
      </c>
      <c r="M29" s="28">
        <f t="shared" si="9"/>
        <v>9878.08</v>
      </c>
      <c r="N29" s="29">
        <f t="shared" si="10"/>
        <v>0.39250000000000002</v>
      </c>
      <c r="O29" s="28">
        <f t="shared" si="11"/>
        <v>-942.04</v>
      </c>
      <c r="P29" s="28">
        <f t="shared" si="12"/>
        <v>8936.0400000000009</v>
      </c>
      <c r="Q29" s="29">
        <f t="shared" si="13"/>
        <v>0.25969999999999999</v>
      </c>
      <c r="V29" s="30">
        <f t="shared" si="22"/>
        <v>1300</v>
      </c>
      <c r="W29" s="30">
        <f t="shared" si="14"/>
        <v>578.30999999999995</v>
      </c>
      <c r="X29" s="30">
        <f t="shared" ref="X29:X30" si="26">ROUND($X$18*$A$28,2)</f>
        <v>4890</v>
      </c>
      <c r="Y29" s="30">
        <f t="shared" si="16"/>
        <v>6768.3099999999995</v>
      </c>
      <c r="AA29" s="30">
        <f t="shared" si="23"/>
        <v>1300</v>
      </c>
      <c r="AB29" s="30">
        <f t="shared" si="17"/>
        <v>693.98</v>
      </c>
      <c r="AC29" s="30">
        <f t="shared" ref="AC29:AC30" si="27">ROUND($AC$18*$A$28,2)</f>
        <v>7780</v>
      </c>
      <c r="AD29" s="30">
        <f t="shared" si="19"/>
        <v>9773.98</v>
      </c>
      <c r="AE29" s="30">
        <f t="shared" si="20"/>
        <v>221.43</v>
      </c>
      <c r="AF29" s="30">
        <f t="shared" si="21"/>
        <v>-942.04</v>
      </c>
    </row>
    <row r="30" spans="1:36" x14ac:dyDescent="0.25">
      <c r="A30" s="44"/>
      <c r="B30" s="140">
        <v>1</v>
      </c>
      <c r="C30" s="44">
        <f>A28*(365.25/12)*B30</f>
        <v>30437.5</v>
      </c>
      <c r="D30" s="28">
        <f t="shared" si="0"/>
        <v>7346.63</v>
      </c>
      <c r="E30" s="92">
        <f t="shared" si="1"/>
        <v>10467.950000000001</v>
      </c>
      <c r="F30" s="96">
        <f t="shared" si="2"/>
        <v>442.86</v>
      </c>
      <c r="G30" s="28">
        <f t="shared" si="3"/>
        <v>2678.4600000000009</v>
      </c>
      <c r="H30" s="29">
        <f t="shared" si="4"/>
        <v>0.36459999999999998</v>
      </c>
      <c r="I30" s="28">
        <f t="shared" si="5"/>
        <v>0</v>
      </c>
      <c r="J30" s="28">
        <f t="shared" si="6"/>
        <v>0</v>
      </c>
      <c r="K30" s="28">
        <f t="shared" si="7"/>
        <v>208.2</v>
      </c>
      <c r="L30" s="28">
        <f t="shared" si="8"/>
        <v>7997.69</v>
      </c>
      <c r="M30" s="28">
        <f t="shared" si="9"/>
        <v>10676.150000000001</v>
      </c>
      <c r="N30" s="29">
        <f t="shared" si="10"/>
        <v>0.33489999999999998</v>
      </c>
      <c r="O30" s="28">
        <f t="shared" si="11"/>
        <v>-1884.08</v>
      </c>
      <c r="P30" s="28">
        <f t="shared" si="12"/>
        <v>8792.0700000000015</v>
      </c>
      <c r="Q30" s="29">
        <f t="shared" si="13"/>
        <v>9.9299999999999999E-2</v>
      </c>
      <c r="V30" s="30">
        <f t="shared" si="22"/>
        <v>1300</v>
      </c>
      <c r="W30" s="30">
        <f t="shared" si="14"/>
        <v>1156.6300000000001</v>
      </c>
      <c r="X30" s="30">
        <f t="shared" si="26"/>
        <v>4890</v>
      </c>
      <c r="Y30" s="30">
        <f t="shared" si="16"/>
        <v>7346.63</v>
      </c>
      <c r="AA30" s="30">
        <f t="shared" si="23"/>
        <v>1300</v>
      </c>
      <c r="AB30" s="30">
        <f t="shared" si="17"/>
        <v>1387.95</v>
      </c>
      <c r="AC30" s="30">
        <f t="shared" si="27"/>
        <v>7780</v>
      </c>
      <c r="AD30" s="30">
        <f t="shared" si="19"/>
        <v>10467.950000000001</v>
      </c>
      <c r="AE30" s="30">
        <f t="shared" si="20"/>
        <v>442.86</v>
      </c>
      <c r="AF30" s="30">
        <f t="shared" si="21"/>
        <v>-1884.08</v>
      </c>
      <c r="AG30" s="63"/>
    </row>
    <row r="31" spans="1:36" x14ac:dyDescent="0.25">
      <c r="A31" s="44"/>
      <c r="C31" s="44"/>
      <c r="D31" s="28"/>
      <c r="E31" s="92"/>
      <c r="F31" s="96"/>
      <c r="G31" s="28"/>
      <c r="H31" s="29"/>
      <c r="I31" s="28"/>
      <c r="J31" s="28"/>
      <c r="K31" s="28"/>
      <c r="L31" s="28"/>
      <c r="M31" s="28"/>
      <c r="N31" s="29"/>
      <c r="O31" s="28"/>
      <c r="P31" s="28"/>
      <c r="Q31" s="29"/>
      <c r="V31" s="30"/>
      <c r="W31" s="30"/>
      <c r="X31" s="30"/>
      <c r="Y31" s="30"/>
      <c r="AA31" s="30"/>
      <c r="AB31" s="30"/>
      <c r="AC31" s="30"/>
      <c r="AD31" s="30"/>
      <c r="AE31" s="30"/>
      <c r="AF31" s="30"/>
    </row>
    <row r="32" spans="1:36" x14ac:dyDescent="0.25">
      <c r="A32" s="44">
        <v>2500</v>
      </c>
      <c r="B32" s="140">
        <v>0.3</v>
      </c>
      <c r="C32" s="44">
        <f>A32*(365.25/12)*B32</f>
        <v>22828.125</v>
      </c>
      <c r="D32" s="28">
        <f t="shared" si="0"/>
        <v>14392.470000000001</v>
      </c>
      <c r="E32" s="92">
        <f t="shared" si="1"/>
        <v>21790.959999999999</v>
      </c>
      <c r="F32" s="96">
        <f t="shared" si="2"/>
        <v>332.14</v>
      </c>
      <c r="G32" s="28">
        <f t="shared" si="3"/>
        <v>7066.3499999999985</v>
      </c>
      <c r="H32" s="29">
        <f t="shared" si="4"/>
        <v>0.49099999999999999</v>
      </c>
      <c r="I32" s="28">
        <f t="shared" si="5"/>
        <v>0</v>
      </c>
      <c r="J32" s="28">
        <f t="shared" si="6"/>
        <v>0</v>
      </c>
      <c r="K32" s="28">
        <f t="shared" si="7"/>
        <v>156.15</v>
      </c>
      <c r="L32" s="28">
        <f t="shared" si="8"/>
        <v>14880.76</v>
      </c>
      <c r="M32" s="28">
        <f t="shared" si="9"/>
        <v>21947.11</v>
      </c>
      <c r="N32" s="29">
        <f t="shared" si="10"/>
        <v>0.47489999999999999</v>
      </c>
      <c r="O32" s="28">
        <f t="shared" si="11"/>
        <v>-1413.06</v>
      </c>
      <c r="P32" s="28">
        <f t="shared" si="12"/>
        <v>20534.05</v>
      </c>
      <c r="Q32" s="29">
        <f t="shared" si="13"/>
        <v>0.37990000000000002</v>
      </c>
      <c r="V32" s="30">
        <f t="shared" si="22"/>
        <v>1300</v>
      </c>
      <c r="W32" s="30">
        <f t="shared" si="14"/>
        <v>867.47</v>
      </c>
      <c r="X32" s="30">
        <f>ROUND($X$18*$A$32,2)</f>
        <v>12225</v>
      </c>
      <c r="Y32" s="30">
        <f t="shared" si="16"/>
        <v>14392.470000000001</v>
      </c>
      <c r="AA32" s="30">
        <f t="shared" si="23"/>
        <v>1300</v>
      </c>
      <c r="AB32" s="30">
        <f t="shared" si="17"/>
        <v>1040.96</v>
      </c>
      <c r="AC32" s="30">
        <f>ROUND($AC$18*$A$32,2)</f>
        <v>19450</v>
      </c>
      <c r="AD32" s="30">
        <f t="shared" si="19"/>
        <v>21790.959999999999</v>
      </c>
      <c r="AE32" s="30">
        <f t="shared" si="20"/>
        <v>332.14</v>
      </c>
      <c r="AF32" s="30">
        <f t="shared" si="21"/>
        <v>-1413.06</v>
      </c>
      <c r="AG32" s="63"/>
    </row>
    <row r="33" spans="1:33" x14ac:dyDescent="0.25">
      <c r="A33" s="44"/>
      <c r="B33" s="140">
        <v>0.5</v>
      </c>
      <c r="C33" s="44">
        <f>A32*(365.25/12)*B33</f>
        <v>38046.875</v>
      </c>
      <c r="D33" s="28">
        <f t="shared" si="0"/>
        <v>14970.779999999999</v>
      </c>
      <c r="E33" s="92">
        <f t="shared" si="1"/>
        <v>22484.94</v>
      </c>
      <c r="F33" s="96">
        <f t="shared" si="2"/>
        <v>553.57000000000005</v>
      </c>
      <c r="G33" s="28">
        <f t="shared" si="3"/>
        <v>6960.59</v>
      </c>
      <c r="H33" s="29">
        <f t="shared" si="4"/>
        <v>0.46489999999999998</v>
      </c>
      <c r="I33" s="28">
        <f t="shared" si="5"/>
        <v>0</v>
      </c>
      <c r="J33" s="28">
        <f t="shared" si="6"/>
        <v>0</v>
      </c>
      <c r="K33" s="28">
        <f t="shared" si="7"/>
        <v>260.25</v>
      </c>
      <c r="L33" s="28">
        <f t="shared" si="8"/>
        <v>15784.599999999999</v>
      </c>
      <c r="M33" s="28">
        <f t="shared" si="9"/>
        <v>22745.19</v>
      </c>
      <c r="N33" s="29">
        <f t="shared" si="10"/>
        <v>0.441</v>
      </c>
      <c r="O33" s="28">
        <f t="shared" si="11"/>
        <v>-2355.1</v>
      </c>
      <c r="P33" s="28">
        <f t="shared" si="12"/>
        <v>20390.09</v>
      </c>
      <c r="Q33" s="29">
        <f t="shared" si="13"/>
        <v>0.2918</v>
      </c>
      <c r="V33" s="30">
        <f t="shared" si="22"/>
        <v>1300</v>
      </c>
      <c r="W33" s="30">
        <f t="shared" si="14"/>
        <v>1445.78</v>
      </c>
      <c r="X33" s="30">
        <f t="shared" ref="X33:X34" si="28">ROUND($X$18*$A$32,2)</f>
        <v>12225</v>
      </c>
      <c r="Y33" s="30">
        <f t="shared" si="16"/>
        <v>14970.779999999999</v>
      </c>
      <c r="AA33" s="30">
        <f t="shared" si="23"/>
        <v>1300</v>
      </c>
      <c r="AB33" s="30">
        <f t="shared" si="17"/>
        <v>1734.94</v>
      </c>
      <c r="AC33" s="30">
        <f t="shared" ref="AC33:AC34" si="29">ROUND($AC$18*$A$32,2)</f>
        <v>19450</v>
      </c>
      <c r="AD33" s="30">
        <f t="shared" si="19"/>
        <v>22484.94</v>
      </c>
      <c r="AE33" s="30">
        <f t="shared" si="20"/>
        <v>553.57000000000005</v>
      </c>
      <c r="AF33" s="30">
        <f t="shared" si="21"/>
        <v>-2355.1</v>
      </c>
    </row>
    <row r="34" spans="1:33" x14ac:dyDescent="0.25">
      <c r="A34" s="44"/>
      <c r="B34" s="140">
        <v>1</v>
      </c>
      <c r="C34" s="44">
        <f>A32*(365.25/12)*B34</f>
        <v>76093.75</v>
      </c>
      <c r="D34" s="28">
        <f t="shared" si="0"/>
        <v>16416.559999999998</v>
      </c>
      <c r="E34" s="92">
        <f t="shared" si="1"/>
        <v>24219.88</v>
      </c>
      <c r="F34" s="96">
        <f t="shared" si="2"/>
        <v>1107.1400000000001</v>
      </c>
      <c r="G34" s="28">
        <f t="shared" si="3"/>
        <v>6696.1800000000039</v>
      </c>
      <c r="H34" s="29">
        <f t="shared" si="4"/>
        <v>0.40789999999999998</v>
      </c>
      <c r="I34" s="28">
        <f t="shared" si="5"/>
        <v>0</v>
      </c>
      <c r="J34" s="28">
        <f t="shared" si="6"/>
        <v>0</v>
      </c>
      <c r="K34" s="28">
        <f t="shared" si="7"/>
        <v>520.51</v>
      </c>
      <c r="L34" s="28">
        <f t="shared" si="8"/>
        <v>18044.209999999995</v>
      </c>
      <c r="M34" s="28">
        <f t="shared" si="9"/>
        <v>24740.39</v>
      </c>
      <c r="N34" s="29">
        <f t="shared" si="10"/>
        <v>0.37109999999999999</v>
      </c>
      <c r="O34" s="28">
        <f t="shared" si="11"/>
        <v>-4710.2</v>
      </c>
      <c r="P34" s="28">
        <f t="shared" si="12"/>
        <v>20030.189999999999</v>
      </c>
      <c r="Q34" s="29">
        <f t="shared" si="13"/>
        <v>0.1101</v>
      </c>
      <c r="V34" s="30">
        <f t="shared" si="22"/>
        <v>1300</v>
      </c>
      <c r="W34" s="30">
        <f t="shared" si="14"/>
        <v>2891.56</v>
      </c>
      <c r="X34" s="30">
        <f t="shared" si="28"/>
        <v>12225</v>
      </c>
      <c r="Y34" s="30">
        <f t="shared" si="16"/>
        <v>16416.559999999998</v>
      </c>
      <c r="AA34" s="30">
        <f t="shared" si="23"/>
        <v>1300</v>
      </c>
      <c r="AB34" s="30">
        <f t="shared" si="17"/>
        <v>3469.88</v>
      </c>
      <c r="AC34" s="30">
        <f t="shared" si="29"/>
        <v>19450</v>
      </c>
      <c r="AD34" s="30">
        <f t="shared" si="19"/>
        <v>24219.88</v>
      </c>
      <c r="AE34" s="30">
        <f t="shared" si="20"/>
        <v>1107.1400000000001</v>
      </c>
      <c r="AF34" s="30">
        <f t="shared" si="21"/>
        <v>-4710.2</v>
      </c>
      <c r="AG34" s="63"/>
    </row>
    <row r="35" spans="1:33" x14ac:dyDescent="0.25">
      <c r="A35" s="44"/>
      <c r="C35" s="44"/>
      <c r="D35" s="28"/>
      <c r="E35" s="92"/>
      <c r="F35" s="96"/>
      <c r="G35" s="28"/>
      <c r="H35" s="29"/>
      <c r="I35" s="28"/>
      <c r="J35" s="28"/>
      <c r="K35" s="28"/>
      <c r="L35" s="28"/>
      <c r="M35" s="28"/>
      <c r="N35" s="29"/>
      <c r="O35" s="28"/>
      <c r="P35" s="28"/>
      <c r="Q35" s="29"/>
      <c r="V35" s="30"/>
      <c r="W35" s="30"/>
      <c r="X35" s="30"/>
      <c r="Y35" s="30"/>
      <c r="AA35" s="30"/>
      <c r="AB35" s="30"/>
      <c r="AC35" s="30"/>
      <c r="AD35" s="30"/>
      <c r="AE35" s="30"/>
      <c r="AF35" s="30"/>
      <c r="AG35" s="63"/>
    </row>
    <row r="36" spans="1:33" x14ac:dyDescent="0.25">
      <c r="A36" s="44">
        <v>5000</v>
      </c>
      <c r="B36" s="140">
        <v>0.3</v>
      </c>
      <c r="C36" s="44">
        <f>A36*(365.25/12)*B36</f>
        <v>45656.25</v>
      </c>
      <c r="D36" s="28">
        <f t="shared" si="0"/>
        <v>27484.94</v>
      </c>
      <c r="E36" s="92">
        <f t="shared" si="1"/>
        <v>42281.93</v>
      </c>
      <c r="F36" s="96">
        <f t="shared" si="2"/>
        <v>664.28</v>
      </c>
      <c r="G36" s="28">
        <f t="shared" si="3"/>
        <v>14132.710000000003</v>
      </c>
      <c r="H36" s="29">
        <f t="shared" si="4"/>
        <v>0.51419999999999999</v>
      </c>
      <c r="I36" s="28">
        <f t="shared" si="5"/>
        <v>0</v>
      </c>
      <c r="J36" s="28">
        <f t="shared" si="6"/>
        <v>0</v>
      </c>
      <c r="K36" s="28">
        <f t="shared" si="7"/>
        <v>312.3</v>
      </c>
      <c r="L36" s="28">
        <f t="shared" si="8"/>
        <v>28461.519999999997</v>
      </c>
      <c r="M36" s="28">
        <f t="shared" si="9"/>
        <v>42594.23</v>
      </c>
      <c r="N36" s="29">
        <f t="shared" si="10"/>
        <v>0.49659999999999999</v>
      </c>
      <c r="O36" s="28">
        <f t="shared" si="11"/>
        <v>-2826.12</v>
      </c>
      <c r="P36" s="28">
        <f t="shared" si="12"/>
        <v>39768.11</v>
      </c>
      <c r="Q36" s="29">
        <f t="shared" si="13"/>
        <v>0.39729999999999999</v>
      </c>
      <c r="V36" s="30">
        <f t="shared" si="22"/>
        <v>1300</v>
      </c>
      <c r="W36" s="30">
        <f t="shared" si="14"/>
        <v>1734.94</v>
      </c>
      <c r="X36" s="30">
        <f>ROUND($X$18*$A$36,2)</f>
        <v>24450</v>
      </c>
      <c r="Y36" s="30">
        <f t="shared" si="16"/>
        <v>27484.94</v>
      </c>
      <c r="AA36" s="30">
        <f t="shared" si="23"/>
        <v>1300</v>
      </c>
      <c r="AB36" s="30">
        <f t="shared" si="17"/>
        <v>2081.9299999999998</v>
      </c>
      <c r="AC36" s="30">
        <f>ROUND($AC$18*$A$36,2)</f>
        <v>38900</v>
      </c>
      <c r="AD36" s="30">
        <f t="shared" si="19"/>
        <v>42281.93</v>
      </c>
      <c r="AE36" s="30">
        <f t="shared" si="20"/>
        <v>664.28</v>
      </c>
      <c r="AF36" s="30">
        <f t="shared" si="21"/>
        <v>-2826.12</v>
      </c>
      <c r="AG36" s="63"/>
    </row>
    <row r="37" spans="1:33" x14ac:dyDescent="0.25">
      <c r="B37" s="140">
        <v>0.5</v>
      </c>
      <c r="C37" s="44">
        <f>A36*(365.25/12)*B37</f>
        <v>76093.75</v>
      </c>
      <c r="D37" s="28">
        <f t="shared" si="0"/>
        <v>28641.559999999998</v>
      </c>
      <c r="E37" s="92">
        <f t="shared" si="1"/>
        <v>43669.88</v>
      </c>
      <c r="F37" s="96">
        <f t="shared" si="2"/>
        <v>1107.1400000000001</v>
      </c>
      <c r="G37" s="28">
        <f t="shared" si="3"/>
        <v>13921.18</v>
      </c>
      <c r="H37" s="29">
        <f t="shared" si="4"/>
        <v>0.48599999999999999</v>
      </c>
      <c r="I37" s="28">
        <f t="shared" si="5"/>
        <v>0</v>
      </c>
      <c r="J37" s="28">
        <f t="shared" si="6"/>
        <v>0</v>
      </c>
      <c r="K37" s="28">
        <f t="shared" si="7"/>
        <v>520.51</v>
      </c>
      <c r="L37" s="28">
        <f t="shared" si="8"/>
        <v>30269.209999999995</v>
      </c>
      <c r="M37" s="28">
        <f t="shared" si="9"/>
        <v>44190.39</v>
      </c>
      <c r="N37" s="29">
        <f t="shared" si="10"/>
        <v>0.45989999999999998</v>
      </c>
      <c r="O37" s="28">
        <f t="shared" si="11"/>
        <v>-4710.2</v>
      </c>
      <c r="P37" s="28">
        <f t="shared" si="12"/>
        <v>39480.19</v>
      </c>
      <c r="Q37" s="29">
        <f t="shared" si="13"/>
        <v>0.30430000000000001</v>
      </c>
      <c r="V37" s="30">
        <f t="shared" si="22"/>
        <v>1300</v>
      </c>
      <c r="W37" s="30">
        <f t="shared" si="14"/>
        <v>2891.56</v>
      </c>
      <c r="X37" s="30">
        <f t="shared" ref="X37:X38" si="30">ROUND($X$18*$A$36,2)</f>
        <v>24450</v>
      </c>
      <c r="Y37" s="30">
        <f t="shared" si="16"/>
        <v>28641.559999999998</v>
      </c>
      <c r="AA37" s="30">
        <f t="shared" si="23"/>
        <v>1300</v>
      </c>
      <c r="AB37" s="30">
        <f t="shared" si="17"/>
        <v>3469.88</v>
      </c>
      <c r="AC37" s="30">
        <f t="shared" ref="AC37:AC38" si="31">ROUND($AC$18*$A$36,2)</f>
        <v>38900</v>
      </c>
      <c r="AD37" s="30">
        <f t="shared" si="19"/>
        <v>43669.88</v>
      </c>
      <c r="AE37" s="30">
        <f t="shared" si="20"/>
        <v>1107.1400000000001</v>
      </c>
      <c r="AF37" s="30">
        <f t="shared" si="21"/>
        <v>-4710.2</v>
      </c>
      <c r="AG37" s="63"/>
    </row>
    <row r="38" spans="1:33" x14ac:dyDescent="0.25">
      <c r="B38" s="140">
        <v>1</v>
      </c>
      <c r="C38" s="44">
        <f>A36*(365.25/12)*B38</f>
        <v>152187.5</v>
      </c>
      <c r="D38" s="28">
        <f t="shared" si="0"/>
        <v>31533.13</v>
      </c>
      <c r="E38" s="92">
        <f t="shared" si="1"/>
        <v>47139.75</v>
      </c>
      <c r="F38" s="96">
        <f t="shared" si="2"/>
        <v>2214.2800000000002</v>
      </c>
      <c r="G38" s="28">
        <f t="shared" si="3"/>
        <v>13392.339999999997</v>
      </c>
      <c r="H38" s="29">
        <f t="shared" si="4"/>
        <v>0.42470000000000002</v>
      </c>
      <c r="I38" s="28">
        <f t="shared" si="5"/>
        <v>0</v>
      </c>
      <c r="J38" s="28">
        <f t="shared" si="6"/>
        <v>0</v>
      </c>
      <c r="K38" s="28">
        <f t="shared" si="7"/>
        <v>1041.02</v>
      </c>
      <c r="L38" s="28">
        <f t="shared" si="8"/>
        <v>34788.43</v>
      </c>
      <c r="M38" s="28">
        <f t="shared" si="9"/>
        <v>48180.77</v>
      </c>
      <c r="N38" s="29">
        <f t="shared" si="10"/>
        <v>0.38500000000000001</v>
      </c>
      <c r="O38" s="28">
        <f t="shared" si="11"/>
        <v>-9420.41</v>
      </c>
      <c r="P38" s="28">
        <f t="shared" si="12"/>
        <v>38760.36</v>
      </c>
      <c r="Q38" s="29">
        <f t="shared" si="13"/>
        <v>0.1142</v>
      </c>
      <c r="V38" s="30">
        <f t="shared" si="22"/>
        <v>1300</v>
      </c>
      <c r="W38" s="30">
        <f t="shared" si="14"/>
        <v>5783.13</v>
      </c>
      <c r="X38" s="30">
        <f t="shared" si="30"/>
        <v>24450</v>
      </c>
      <c r="Y38" s="30">
        <f t="shared" si="16"/>
        <v>31533.13</v>
      </c>
      <c r="AA38" s="30">
        <f t="shared" si="23"/>
        <v>1300</v>
      </c>
      <c r="AB38" s="30">
        <f t="shared" si="17"/>
        <v>6939.75</v>
      </c>
      <c r="AC38" s="30">
        <f t="shared" si="31"/>
        <v>38900</v>
      </c>
      <c r="AD38" s="30">
        <f t="shared" si="19"/>
        <v>47139.75</v>
      </c>
      <c r="AE38" s="30">
        <f t="shared" si="20"/>
        <v>2214.2800000000002</v>
      </c>
      <c r="AF38" s="30">
        <f t="shared" si="21"/>
        <v>-9420.41</v>
      </c>
      <c r="AG38" s="63"/>
    </row>
    <row r="39" spans="1:33" x14ac:dyDescent="0.25">
      <c r="L39" s="27"/>
      <c r="M39" s="27"/>
      <c r="N39" s="27"/>
      <c r="O39" s="27"/>
      <c r="P39" s="27"/>
      <c r="Q39" s="27"/>
    </row>
    <row r="40" spans="1:33" x14ac:dyDescent="0.25">
      <c r="A40" s="26" t="s">
        <v>85</v>
      </c>
      <c r="D40" s="43"/>
      <c r="E40" s="44"/>
      <c r="F40" s="44"/>
      <c r="L40" s="28"/>
      <c r="M40" s="28"/>
      <c r="N40" s="29"/>
      <c r="O40" s="29"/>
      <c r="P40" s="29"/>
      <c r="Q40" s="29"/>
    </row>
    <row r="41" spans="1:33" x14ac:dyDescent="0.25">
      <c r="A41" s="46" t="str">
        <f>("Forecast Period Average Usage = "&amp;INPUT!L17&amp;" Mcf per month")</f>
        <v>Forecast Period Average Usage = 0 Mcf per month</v>
      </c>
      <c r="H41" s="26" t="s">
        <v>117</v>
      </c>
    </row>
    <row r="42" spans="1:33" x14ac:dyDescent="0.25">
      <c r="A42" s="46" t="str">
        <f>("Forecast Period Average Demand = "&amp;INPUT!E63&amp;" Mcf per month")</f>
        <v>Forecast Period Average Demand = 0 Mcf per month</v>
      </c>
    </row>
    <row r="43" spans="1:33" x14ac:dyDescent="0.25">
      <c r="A43" s="47" t="s">
        <v>173</v>
      </c>
    </row>
    <row r="44" spans="1:33" x14ac:dyDescent="0.25">
      <c r="A44" s="60" t="str">
        <f>+'Rate Case Constants'!$C$26</f>
        <v>Calculations may vary from other schedules due to rounding</v>
      </c>
    </row>
    <row r="51" spans="11:12" x14ac:dyDescent="0.25">
      <c r="K51" s="146"/>
      <c r="L51" s="146"/>
    </row>
    <row r="52" spans="11:12" x14ac:dyDescent="0.25">
      <c r="K52" s="146"/>
      <c r="L52" s="146"/>
    </row>
  </sheetData>
  <mergeCells count="8">
    <mergeCell ref="W4:AH4"/>
    <mergeCell ref="I15:K15"/>
    <mergeCell ref="AA15:AA17"/>
    <mergeCell ref="V15:V17"/>
    <mergeCell ref="A1:Q1"/>
    <mergeCell ref="A2:Q2"/>
    <mergeCell ref="A3:Q3"/>
    <mergeCell ref="A4:Q4"/>
  </mergeCells>
  <printOptions horizontalCentered="1"/>
  <pageMargins left="0.75" right="0.75" top="1.5" bottom="0.5" header="1" footer="0.5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</sheetPr>
  <dimension ref="A1:U63"/>
  <sheetViews>
    <sheetView zoomScale="70" zoomScaleNormal="70" zoomScaleSheetLayoutView="70" workbookViewId="0">
      <pane xSplit="1" ySplit="3" topLeftCell="B4" activePane="bottomRight" state="frozen"/>
      <selection activeCell="D45" sqref="D45"/>
      <selection pane="topRight" activeCell="D45" sqref="D45"/>
      <selection pane="bottomLeft" activeCell="D45" sqref="D45"/>
      <selection pane="bottomRight"/>
    </sheetView>
  </sheetViews>
  <sheetFormatPr defaultRowHeight="14.5" x14ac:dyDescent="0.35"/>
  <cols>
    <col min="1" max="1" width="49.54296875" bestFit="1" customWidth="1"/>
    <col min="3" max="3" width="20" bestFit="1" customWidth="1"/>
    <col min="4" max="4" width="19.26953125" bestFit="1" customWidth="1"/>
    <col min="5" max="5" width="15.1796875" bestFit="1" customWidth="1"/>
    <col min="6" max="6" width="14.453125" customWidth="1"/>
    <col min="7" max="7" width="15.54296875" customWidth="1"/>
    <col min="8" max="8" width="15.81640625" bestFit="1" customWidth="1"/>
    <col min="9" max="11" width="25.7265625" bestFit="1" customWidth="1"/>
    <col min="12" max="12" width="21.81640625" bestFit="1" customWidth="1"/>
    <col min="13" max="13" width="23.6328125" bestFit="1" customWidth="1"/>
    <col min="14" max="14" width="13" bestFit="1" customWidth="1"/>
    <col min="15" max="16" width="15.26953125" bestFit="1" customWidth="1"/>
    <col min="17" max="17" width="13.26953125" bestFit="1" customWidth="1"/>
    <col min="18" max="18" width="14.26953125" bestFit="1" customWidth="1"/>
    <col min="19" max="19" width="15.26953125" bestFit="1" customWidth="1"/>
    <col min="20" max="20" width="12.7265625" bestFit="1" customWidth="1"/>
  </cols>
  <sheetData>
    <row r="1" spans="1:13" x14ac:dyDescent="0.35">
      <c r="A1" s="1"/>
      <c r="C1" s="7"/>
      <c r="D1" s="8"/>
      <c r="E1" s="8"/>
      <c r="F1" s="8"/>
      <c r="G1" s="8"/>
      <c r="H1" s="8" t="s">
        <v>113</v>
      </c>
      <c r="I1" s="8"/>
      <c r="J1" s="8" t="s">
        <v>180</v>
      </c>
      <c r="K1" s="8" t="s">
        <v>180</v>
      </c>
      <c r="L1" s="8" t="s">
        <v>99</v>
      </c>
      <c r="M1" s="8"/>
    </row>
    <row r="2" spans="1:13" x14ac:dyDescent="0.35">
      <c r="A2" s="1" t="s">
        <v>0</v>
      </c>
      <c r="C2" s="7" t="s">
        <v>7</v>
      </c>
      <c r="D2" s="8" t="s">
        <v>4</v>
      </c>
      <c r="E2" s="8" t="s">
        <v>5</v>
      </c>
      <c r="F2" s="8" t="s">
        <v>6</v>
      </c>
      <c r="G2" s="8" t="s">
        <v>8</v>
      </c>
      <c r="H2" s="8" t="s">
        <v>112</v>
      </c>
      <c r="I2" s="8" t="s">
        <v>9</v>
      </c>
      <c r="J2" s="8" t="s">
        <v>102</v>
      </c>
      <c r="K2" s="8" t="s">
        <v>103</v>
      </c>
      <c r="L2" s="8" t="s">
        <v>114</v>
      </c>
    </row>
    <row r="3" spans="1:13" x14ac:dyDescent="0.35">
      <c r="A3" s="1"/>
      <c r="C3" s="11" t="s">
        <v>10</v>
      </c>
      <c r="D3" s="11" t="s">
        <v>10</v>
      </c>
      <c r="E3" s="11" t="s">
        <v>10</v>
      </c>
      <c r="F3" s="11" t="s">
        <v>10</v>
      </c>
      <c r="G3" s="11" t="s">
        <v>10</v>
      </c>
      <c r="H3" s="11" t="s">
        <v>10</v>
      </c>
      <c r="I3" s="11" t="s">
        <v>10</v>
      </c>
      <c r="J3" s="68" t="s">
        <v>10</v>
      </c>
      <c r="K3" s="68" t="s">
        <v>10</v>
      </c>
      <c r="L3" s="68" t="s">
        <v>10</v>
      </c>
    </row>
    <row r="4" spans="1:13" x14ac:dyDescent="0.35">
      <c r="B4" s="48"/>
      <c r="C4" s="55"/>
      <c r="D4" s="55"/>
      <c r="E4" s="55"/>
      <c r="F4" s="55"/>
      <c r="G4" s="124"/>
      <c r="H4" s="124"/>
      <c r="I4" s="55"/>
      <c r="J4" s="48"/>
      <c r="K4" s="48"/>
      <c r="L4" s="48"/>
    </row>
    <row r="5" spans="1:13" x14ac:dyDescent="0.35">
      <c r="A5" t="s">
        <v>14</v>
      </c>
      <c r="B5" s="48"/>
      <c r="C5" s="99">
        <f>0.65*365.25/12</f>
        <v>19.784375000000001</v>
      </c>
      <c r="D5" s="99"/>
      <c r="E5" s="99"/>
      <c r="F5" s="99">
        <v>500</v>
      </c>
      <c r="G5" s="99">
        <v>750</v>
      </c>
      <c r="H5" s="99">
        <v>750</v>
      </c>
      <c r="I5" s="99"/>
      <c r="J5" s="99">
        <v>285</v>
      </c>
      <c r="K5" s="99">
        <v>750</v>
      </c>
      <c r="L5" s="99">
        <v>750</v>
      </c>
    </row>
    <row r="6" spans="1:13" x14ac:dyDescent="0.35">
      <c r="A6" t="s">
        <v>15</v>
      </c>
      <c r="B6" s="48"/>
      <c r="C6" s="99"/>
      <c r="D6" s="99">
        <f>1.97*365.25/12</f>
        <v>59.961874999999999</v>
      </c>
      <c r="E6" s="99">
        <f>5.42*365.25/12</f>
        <v>164.97125</v>
      </c>
      <c r="F6" s="99"/>
      <c r="G6" s="99"/>
      <c r="H6" s="100"/>
      <c r="I6" s="99">
        <v>165</v>
      </c>
      <c r="J6" s="100"/>
      <c r="K6" s="100"/>
      <c r="L6" s="100"/>
    </row>
    <row r="7" spans="1:13" x14ac:dyDescent="0.35">
      <c r="A7" t="s">
        <v>16</v>
      </c>
      <c r="B7" s="48"/>
      <c r="C7" s="99"/>
      <c r="D7" s="99">
        <f>9.37*365.25/12</f>
        <v>285.19937499999997</v>
      </c>
      <c r="E7" s="99">
        <f>24.64*365.25/12</f>
        <v>749.98</v>
      </c>
      <c r="F7" s="99"/>
      <c r="G7" s="99"/>
      <c r="H7" s="100"/>
      <c r="I7" s="99">
        <v>750</v>
      </c>
      <c r="J7" s="100"/>
      <c r="K7" s="100"/>
      <c r="L7" s="100"/>
    </row>
    <row r="8" spans="1:13" x14ac:dyDescent="0.35">
      <c r="B8" s="48"/>
      <c r="C8" s="99"/>
      <c r="D8" s="99"/>
      <c r="E8" s="99"/>
      <c r="F8" s="99"/>
      <c r="G8" s="99"/>
      <c r="H8" s="100"/>
      <c r="I8" s="99"/>
      <c r="J8" s="100"/>
      <c r="K8" s="100"/>
      <c r="L8" s="100"/>
    </row>
    <row r="9" spans="1:13" x14ac:dyDescent="0.35">
      <c r="A9" t="s">
        <v>1</v>
      </c>
      <c r="B9" s="48"/>
      <c r="C9" s="101">
        <v>3.6781999999999999</v>
      </c>
      <c r="D9" s="101">
        <v>3.0670000000000002</v>
      </c>
      <c r="E9" s="125">
        <v>2.1929000000000003</v>
      </c>
      <c r="F9" s="101">
        <v>1.0644</v>
      </c>
      <c r="G9" s="101">
        <v>3.7999999999999999E-2</v>
      </c>
      <c r="H9" s="101">
        <v>0.29920000000000002</v>
      </c>
      <c r="I9" s="101">
        <v>0.29920000000000002</v>
      </c>
      <c r="J9" s="101">
        <v>0.36030000000000001</v>
      </c>
      <c r="K9" s="101">
        <v>0.29920000000000002</v>
      </c>
      <c r="L9" s="126">
        <v>3.7999999999999999E-2</v>
      </c>
    </row>
    <row r="10" spans="1:13" x14ac:dyDescent="0.35">
      <c r="A10" s="5" t="s">
        <v>2</v>
      </c>
      <c r="B10" s="48"/>
      <c r="C10" s="101"/>
      <c r="D10" s="101">
        <f>D9-0.5</f>
        <v>2.5670000000000002</v>
      </c>
      <c r="E10" s="125">
        <f>E9-0.5</f>
        <v>1.6929000000000003</v>
      </c>
      <c r="F10" s="101"/>
      <c r="G10" s="101"/>
      <c r="H10" s="100"/>
      <c r="I10" s="101"/>
      <c r="J10" s="100"/>
      <c r="K10" s="100"/>
      <c r="L10" s="100"/>
    </row>
    <row r="11" spans="1:13" x14ac:dyDescent="0.35">
      <c r="B11" s="48"/>
      <c r="C11" s="99"/>
      <c r="D11" s="99"/>
      <c r="E11" s="99"/>
      <c r="F11" s="99"/>
      <c r="G11" s="99"/>
      <c r="H11" s="100"/>
      <c r="I11" s="99"/>
      <c r="J11" s="100"/>
      <c r="K11" s="100"/>
      <c r="L11" s="100"/>
    </row>
    <row r="12" spans="1:13" x14ac:dyDescent="0.35">
      <c r="A12" s="57" t="s">
        <v>86</v>
      </c>
      <c r="B12" s="48"/>
      <c r="C12" s="99"/>
      <c r="D12" s="99"/>
      <c r="E12" s="99"/>
      <c r="F12" s="99"/>
      <c r="G12" s="99">
        <v>4.8899999999999997</v>
      </c>
      <c r="H12" s="127">
        <v>10.8978</v>
      </c>
      <c r="I12" s="128">
        <v>10.8978</v>
      </c>
      <c r="J12" s="99">
        <v>6.56</v>
      </c>
      <c r="K12" s="99">
        <v>10.9</v>
      </c>
      <c r="L12" s="129">
        <v>4.8899999999999997</v>
      </c>
    </row>
    <row r="13" spans="1:13" x14ac:dyDescent="0.35">
      <c r="B13" s="48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3" x14ac:dyDescent="0.35">
      <c r="A14" t="s">
        <v>3</v>
      </c>
      <c r="B14" s="48"/>
      <c r="C14" s="101"/>
      <c r="D14" s="101"/>
      <c r="E14" s="101"/>
      <c r="F14" s="101"/>
      <c r="G14" s="99">
        <v>550</v>
      </c>
      <c r="H14" s="100"/>
      <c r="I14" s="101"/>
      <c r="J14" s="100"/>
      <c r="K14" s="100"/>
      <c r="L14" s="99">
        <v>550</v>
      </c>
    </row>
    <row r="15" spans="1:13" x14ac:dyDescent="0.35">
      <c r="B15" s="48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3" x14ac:dyDescent="0.35">
      <c r="A16" s="34" t="s">
        <v>48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x14ac:dyDescent="0.35">
      <c r="A17" s="34" t="s">
        <v>96</v>
      </c>
      <c r="B17" s="36"/>
      <c r="C17" s="130">
        <v>5.3869999999999996</v>
      </c>
      <c r="D17" s="130">
        <v>33.701000000000001</v>
      </c>
      <c r="E17" s="130">
        <v>558.83399999999995</v>
      </c>
      <c r="F17" s="131">
        <v>4157.1679999999997</v>
      </c>
      <c r="G17" s="131">
        <v>12326.504000000001</v>
      </c>
      <c r="H17" s="131">
        <v>24240.241999999998</v>
      </c>
      <c r="I17" s="130">
        <v>0.35</v>
      </c>
      <c r="J17" s="131">
        <v>125</v>
      </c>
      <c r="K17" s="131">
        <v>0</v>
      </c>
      <c r="L17" s="131">
        <v>0</v>
      </c>
    </row>
    <row r="19" spans="1:12" x14ac:dyDescent="0.35">
      <c r="A19" s="1"/>
      <c r="C19" s="7"/>
      <c r="D19" s="8"/>
      <c r="E19" s="8"/>
      <c r="F19" s="8"/>
      <c r="G19" s="8"/>
      <c r="H19" s="8" t="s">
        <v>11</v>
      </c>
      <c r="I19" s="8"/>
      <c r="J19" s="8" t="s">
        <v>180</v>
      </c>
      <c r="K19" s="8" t="s">
        <v>180</v>
      </c>
      <c r="L19" s="55" t="s">
        <v>99</v>
      </c>
    </row>
    <row r="20" spans="1:12" x14ac:dyDescent="0.35">
      <c r="A20" s="1" t="s">
        <v>17</v>
      </c>
      <c r="C20" s="7" t="s">
        <v>7</v>
      </c>
      <c r="D20" s="8" t="s">
        <v>4</v>
      </c>
      <c r="E20" s="8" t="s">
        <v>5</v>
      </c>
      <c r="F20" s="8" t="s">
        <v>6</v>
      </c>
      <c r="G20" s="8" t="s">
        <v>8</v>
      </c>
      <c r="H20" s="8" t="s">
        <v>12</v>
      </c>
      <c r="I20" s="8" t="s">
        <v>9</v>
      </c>
      <c r="J20" s="8" t="s">
        <v>102</v>
      </c>
      <c r="K20" s="8" t="s">
        <v>103</v>
      </c>
      <c r="L20" s="8" t="s">
        <v>114</v>
      </c>
    </row>
    <row r="21" spans="1:12" x14ac:dyDescent="0.35">
      <c r="C21" s="11" t="s">
        <v>10</v>
      </c>
      <c r="D21" s="11" t="s">
        <v>10</v>
      </c>
      <c r="E21" s="11" t="s">
        <v>10</v>
      </c>
      <c r="F21" s="11" t="s">
        <v>10</v>
      </c>
      <c r="G21" s="11" t="s">
        <v>10</v>
      </c>
      <c r="H21" s="11" t="s">
        <v>10</v>
      </c>
      <c r="I21" s="11" t="s">
        <v>10</v>
      </c>
      <c r="J21" s="68" t="s">
        <v>10</v>
      </c>
      <c r="K21" s="68" t="s">
        <v>10</v>
      </c>
      <c r="L21" s="68" t="s">
        <v>10</v>
      </c>
    </row>
    <row r="22" spans="1:12" x14ac:dyDescent="0.35">
      <c r="A22" s="48" t="s">
        <v>14</v>
      </c>
      <c r="B22" s="48"/>
      <c r="C22" s="99">
        <f>0.78*365.25/12</f>
        <v>23.741249999999997</v>
      </c>
      <c r="D22" s="9"/>
      <c r="E22" s="9"/>
      <c r="F22" s="99">
        <v>630</v>
      </c>
      <c r="G22" s="99">
        <v>750</v>
      </c>
      <c r="H22" s="99">
        <v>750</v>
      </c>
      <c r="I22" s="9"/>
      <c r="J22" s="99">
        <v>335</v>
      </c>
      <c r="K22" s="99">
        <v>750</v>
      </c>
      <c r="L22" s="99">
        <v>750</v>
      </c>
    </row>
    <row r="23" spans="1:12" x14ac:dyDescent="0.35">
      <c r="A23" s="48" t="s">
        <v>15</v>
      </c>
      <c r="B23" s="48"/>
      <c r="C23" s="9"/>
      <c r="D23" s="99">
        <f>2.3*365.25/12</f>
        <v>70.006249999999994</v>
      </c>
      <c r="E23" s="99">
        <f>5.42*365.25/12</f>
        <v>164.97125</v>
      </c>
      <c r="F23" s="99"/>
      <c r="G23" s="99"/>
      <c r="H23" s="100"/>
      <c r="I23" s="99">
        <v>165</v>
      </c>
      <c r="J23" s="48"/>
      <c r="K23" s="100"/>
      <c r="L23" s="100"/>
    </row>
    <row r="24" spans="1:12" x14ac:dyDescent="0.35">
      <c r="A24" s="48" t="s">
        <v>16</v>
      </c>
      <c r="B24" s="48"/>
      <c r="C24" s="9"/>
      <c r="D24" s="99">
        <f>11*365.25/12</f>
        <v>334.8125</v>
      </c>
      <c r="E24" s="99">
        <f>24.64*365.25/12</f>
        <v>749.98</v>
      </c>
      <c r="F24" s="99"/>
      <c r="G24" s="99"/>
      <c r="H24" s="100"/>
      <c r="I24" s="99">
        <v>750</v>
      </c>
      <c r="J24" s="48"/>
      <c r="K24" s="100"/>
      <c r="L24" s="100"/>
    </row>
    <row r="25" spans="1:12" x14ac:dyDescent="0.35">
      <c r="B25" s="48"/>
      <c r="C25" s="9"/>
      <c r="D25" s="99"/>
      <c r="E25" s="99"/>
      <c r="F25" s="99"/>
      <c r="G25" s="99"/>
      <c r="H25" s="100"/>
      <c r="I25" s="99"/>
      <c r="J25" s="48"/>
      <c r="K25" s="100"/>
      <c r="L25" s="100"/>
    </row>
    <row r="26" spans="1:12" x14ac:dyDescent="0.35">
      <c r="A26" s="48"/>
      <c r="B26" s="48"/>
      <c r="C26" s="9"/>
      <c r="D26" s="99"/>
      <c r="E26" s="99"/>
      <c r="F26" s="99"/>
      <c r="G26" s="99"/>
      <c r="H26" s="100"/>
      <c r="I26" s="99"/>
      <c r="J26" s="48"/>
      <c r="K26" s="100"/>
      <c r="L26" s="100"/>
    </row>
    <row r="27" spans="1:12" x14ac:dyDescent="0.35">
      <c r="A27" s="48" t="s">
        <v>1</v>
      </c>
      <c r="B27" s="48"/>
      <c r="C27" s="125">
        <v>4.8398000000000003</v>
      </c>
      <c r="D27" s="101">
        <v>3.7688000000000001</v>
      </c>
      <c r="E27" s="101">
        <v>2.7023000000000001</v>
      </c>
      <c r="F27" s="101">
        <v>2.0167999999999999</v>
      </c>
      <c r="G27" s="101">
        <v>4.5600000000000002E-2</v>
      </c>
      <c r="H27" s="101">
        <v>0.31</v>
      </c>
      <c r="I27" s="101">
        <v>0.31</v>
      </c>
      <c r="J27" s="101">
        <v>0.41060000000000002</v>
      </c>
      <c r="K27" s="101">
        <v>0.31</v>
      </c>
      <c r="L27" s="101">
        <v>4.5600000000000002E-2</v>
      </c>
    </row>
    <row r="28" spans="1:12" x14ac:dyDescent="0.35">
      <c r="A28" s="56" t="s">
        <v>2</v>
      </c>
      <c r="B28" s="48"/>
      <c r="C28" s="10"/>
      <c r="D28" s="101">
        <v>3.2688000000000001</v>
      </c>
      <c r="E28" s="101">
        <v>2.2023000000000001</v>
      </c>
      <c r="F28" s="10"/>
      <c r="G28" s="101"/>
      <c r="H28" s="100"/>
      <c r="I28" s="101"/>
      <c r="J28" s="48"/>
      <c r="K28" s="100"/>
      <c r="L28" s="100"/>
    </row>
    <row r="29" spans="1:12" x14ac:dyDescent="0.35">
      <c r="B29" s="48"/>
      <c r="C29" s="9"/>
      <c r="D29" s="9"/>
      <c r="E29" s="99"/>
      <c r="F29" s="9"/>
      <c r="G29" s="99"/>
      <c r="H29" s="100"/>
      <c r="I29" s="99"/>
      <c r="J29" s="48"/>
      <c r="K29" s="100"/>
      <c r="L29" s="100"/>
    </row>
    <row r="30" spans="1:12" x14ac:dyDescent="0.35">
      <c r="A30" s="57" t="s">
        <v>86</v>
      </c>
      <c r="B30" s="48"/>
      <c r="C30" s="9"/>
      <c r="D30" s="9"/>
      <c r="E30" s="9"/>
      <c r="F30" s="9"/>
      <c r="G30" s="99">
        <v>7.78</v>
      </c>
      <c r="H30" s="127">
        <v>10.89</v>
      </c>
      <c r="I30" s="128">
        <v>10.89</v>
      </c>
      <c r="J30" s="99">
        <v>7.54</v>
      </c>
      <c r="K30" s="99">
        <v>10.89</v>
      </c>
      <c r="L30" s="129">
        <v>7.78</v>
      </c>
    </row>
    <row r="31" spans="1:12" x14ac:dyDescent="0.35">
      <c r="B31" s="48"/>
      <c r="C31" s="48"/>
      <c r="D31" s="48"/>
      <c r="E31" s="48"/>
      <c r="F31" s="48"/>
      <c r="G31" s="100"/>
      <c r="H31" s="48"/>
      <c r="I31" s="48"/>
      <c r="J31" s="48"/>
      <c r="K31" s="48"/>
      <c r="L31" s="100"/>
    </row>
    <row r="32" spans="1:12" x14ac:dyDescent="0.35">
      <c r="A32" s="48" t="s">
        <v>3</v>
      </c>
      <c r="B32" s="48"/>
      <c r="C32" s="10"/>
      <c r="D32" s="10"/>
      <c r="E32" s="10"/>
      <c r="F32" s="10"/>
      <c r="G32" s="99">
        <v>550</v>
      </c>
      <c r="H32" s="48"/>
      <c r="I32" s="10"/>
      <c r="J32" s="48"/>
      <c r="K32" s="48"/>
      <c r="L32" s="99">
        <v>550</v>
      </c>
    </row>
    <row r="33" spans="1:21" x14ac:dyDescent="0.35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</row>
    <row r="34" spans="1:21" x14ac:dyDescent="0.35">
      <c r="A34" t="s">
        <v>151</v>
      </c>
      <c r="B34" s="48"/>
      <c r="C34" s="48">
        <v>-6.1899999999999997E-2</v>
      </c>
      <c r="D34" s="48">
        <v>-6.1899999999999997E-2</v>
      </c>
      <c r="E34" s="48">
        <v>-6.1899999999999997E-2</v>
      </c>
      <c r="F34" s="48">
        <v>-6.1899999999999997E-2</v>
      </c>
      <c r="G34" s="48">
        <v>-6.1899999999999997E-2</v>
      </c>
      <c r="H34" s="48">
        <v>-6.1899999999999997E-2</v>
      </c>
      <c r="I34" s="48">
        <v>-6.1899999999999997E-2</v>
      </c>
      <c r="J34" s="48">
        <v>-6.1899999999999997E-2</v>
      </c>
      <c r="K34" s="48">
        <v>-6.1899999999999997E-2</v>
      </c>
      <c r="L34" s="48">
        <v>-6.1899999999999997E-2</v>
      </c>
    </row>
    <row r="35" spans="1:21" x14ac:dyDescent="0.3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</row>
    <row r="36" spans="1:21" x14ac:dyDescent="0.3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</row>
    <row r="37" spans="1:21" x14ac:dyDescent="0.35">
      <c r="B37" s="48"/>
    </row>
    <row r="38" spans="1:21" x14ac:dyDescent="0.3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48"/>
      <c r="N38" s="48"/>
      <c r="O38" s="48"/>
      <c r="P38" s="48"/>
    </row>
    <row r="39" spans="1:21" x14ac:dyDescent="0.3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21" x14ac:dyDescent="0.35">
      <c r="M40" s="48"/>
      <c r="N40" s="48"/>
      <c r="O40" s="48"/>
      <c r="P40" s="48"/>
    </row>
    <row r="41" spans="1:21" x14ac:dyDescent="0.35">
      <c r="A41" s="70" t="s">
        <v>98</v>
      </c>
      <c r="C41" s="8" t="s">
        <v>148</v>
      </c>
      <c r="D41" s="8" t="s">
        <v>26</v>
      </c>
      <c r="E41" s="8" t="s">
        <v>23</v>
      </c>
      <c r="F41" s="8" t="s">
        <v>27</v>
      </c>
      <c r="G41" s="8" t="s">
        <v>154</v>
      </c>
      <c r="H41" s="23" t="s">
        <v>38</v>
      </c>
      <c r="I41" s="23" t="s">
        <v>39</v>
      </c>
      <c r="J41" s="24" t="s">
        <v>40</v>
      </c>
      <c r="K41" s="24" t="s">
        <v>41</v>
      </c>
      <c r="L41" s="24" t="s">
        <v>166</v>
      </c>
      <c r="M41" s="1" t="s">
        <v>149</v>
      </c>
      <c r="N41" s="1" t="s">
        <v>84</v>
      </c>
    </row>
    <row r="42" spans="1:21" x14ac:dyDescent="0.35">
      <c r="B42" s="48"/>
      <c r="C42" s="55"/>
      <c r="D42" s="55"/>
      <c r="E42" s="55"/>
      <c r="F42" s="55"/>
      <c r="G42" s="55"/>
      <c r="H42" s="13" t="s">
        <v>28</v>
      </c>
      <c r="I42" s="23"/>
      <c r="J42" s="23"/>
      <c r="K42" s="23"/>
      <c r="L42" s="23"/>
      <c r="M42" s="48"/>
    </row>
    <row r="43" spans="1:21" x14ac:dyDescent="0.35">
      <c r="A43" s="3" t="s">
        <v>32</v>
      </c>
      <c r="B43" s="48"/>
      <c r="C43" s="134">
        <v>143297422.80864847</v>
      </c>
      <c r="D43" s="134">
        <v>73041197.31455493</v>
      </c>
      <c r="E43" s="134">
        <v>235706.3066884139</v>
      </c>
      <c r="F43" s="134">
        <v>6886665.2274169531</v>
      </c>
      <c r="G43" s="134">
        <v>14648186.682277357</v>
      </c>
      <c r="H43" s="135">
        <v>19501502.014204904</v>
      </c>
      <c r="I43" s="25">
        <f t="shared" ref="I43:J50" si="0">+D43/$H43</f>
        <v>3.7454139307501384</v>
      </c>
      <c r="J43" s="25">
        <f t="shared" si="0"/>
        <v>1.2086571922343484E-2</v>
      </c>
      <c r="K43" s="25">
        <f>+F43/H43</f>
        <v>0.3531351186385901</v>
      </c>
      <c r="L43" s="25">
        <f>G43/H43</f>
        <v>0.75113120371998066</v>
      </c>
      <c r="M43" s="132">
        <v>3619902</v>
      </c>
      <c r="N43" s="45">
        <f t="shared" ref="N43:N50" si="1">+F43/M43</f>
        <v>1.9024452118916348</v>
      </c>
      <c r="O43" s="48"/>
      <c r="Q43" s="104"/>
      <c r="R43" s="104"/>
      <c r="S43" s="104"/>
      <c r="T43" s="104"/>
      <c r="U43" s="104"/>
    </row>
    <row r="44" spans="1:21" x14ac:dyDescent="0.35">
      <c r="A44" s="3" t="s">
        <v>33</v>
      </c>
      <c r="B44" s="48"/>
      <c r="C44" s="134">
        <v>53317110.203203417</v>
      </c>
      <c r="D44" s="134">
        <v>38743321.790414974</v>
      </c>
      <c r="E44" s="134">
        <v>133387.08834277876</v>
      </c>
      <c r="F44" s="134">
        <v>2852888.0237382376</v>
      </c>
      <c r="G44" s="134">
        <v>6070338.7350938208</v>
      </c>
      <c r="H44" s="135">
        <v>10409091.501879076</v>
      </c>
      <c r="I44" s="25">
        <f t="shared" si="0"/>
        <v>3.7220656368926077</v>
      </c>
      <c r="J44" s="25">
        <f t="shared" si="0"/>
        <v>1.2814479373026877E-2</v>
      </c>
      <c r="K44" s="25">
        <f t="shared" ref="K44:K50" si="2">+F44/H44</f>
        <v>0.27407656309133482</v>
      </c>
      <c r="L44" s="25">
        <f t="shared" ref="L44:L50" si="3">G44/H44</f>
        <v>0.58317661382820851</v>
      </c>
      <c r="M44" s="133">
        <v>308870</v>
      </c>
      <c r="N44" s="45">
        <f t="shared" si="1"/>
        <v>9.2365332461496337</v>
      </c>
      <c r="O44" s="25">
        <f>SUM(F50,F44)/SUM(H50,H44)</f>
        <v>0.27481237601145259</v>
      </c>
      <c r="P44" t="s">
        <v>165</v>
      </c>
      <c r="Q44" s="104"/>
      <c r="R44" s="104"/>
      <c r="S44" s="104"/>
      <c r="T44" s="104"/>
      <c r="U44" s="104"/>
    </row>
    <row r="45" spans="1:21" x14ac:dyDescent="0.35">
      <c r="A45" s="3" t="s">
        <v>34</v>
      </c>
      <c r="B45" s="48"/>
      <c r="C45" s="134">
        <v>3919735.9473273829</v>
      </c>
      <c r="D45" s="134">
        <v>3507033.3299594289</v>
      </c>
      <c r="E45" s="134">
        <v>0</v>
      </c>
      <c r="F45" s="134">
        <v>332527.40576014994</v>
      </c>
      <c r="G45" s="134">
        <v>709688.37983489479</v>
      </c>
      <c r="H45" s="135">
        <v>1393173.6317613169</v>
      </c>
      <c r="I45" s="25">
        <f t="shared" si="0"/>
        <v>2.5172980955185529</v>
      </c>
      <c r="J45" s="25">
        <f t="shared" si="0"/>
        <v>0</v>
      </c>
      <c r="K45" s="25">
        <f t="shared" si="2"/>
        <v>0.23868339033933111</v>
      </c>
      <c r="L45" s="25">
        <f t="shared" si="3"/>
        <v>0.50940411421487553</v>
      </c>
      <c r="M45" s="133">
        <v>2493</v>
      </c>
      <c r="N45" s="45">
        <f t="shared" si="1"/>
        <v>133.384438732511</v>
      </c>
      <c r="O45" s="48"/>
      <c r="Q45" s="104"/>
      <c r="R45" s="104"/>
      <c r="S45" s="104"/>
      <c r="T45" s="104"/>
      <c r="U45" s="104"/>
    </row>
    <row r="46" spans="1:21" x14ac:dyDescent="0.35">
      <c r="A46" s="3" t="s">
        <v>35</v>
      </c>
      <c r="B46" s="48"/>
      <c r="C46" s="134">
        <v>183896.0182711696</v>
      </c>
      <c r="D46" s="134">
        <v>178832.92277828581</v>
      </c>
      <c r="E46" s="134">
        <v>436.95710952000752</v>
      </c>
      <c r="F46" s="134">
        <v>18775.517071143629</v>
      </c>
      <c r="G46" s="134">
        <v>37728.318398582102</v>
      </c>
      <c r="H46" s="135">
        <v>149658.04046521007</v>
      </c>
      <c r="I46" s="25">
        <f t="shared" si="0"/>
        <v>1.1949436343171806</v>
      </c>
      <c r="J46" s="25">
        <f t="shared" si="0"/>
        <v>2.9197035332129968E-3</v>
      </c>
      <c r="K46" s="25">
        <f t="shared" si="2"/>
        <v>0.12545611991697994</v>
      </c>
      <c r="L46" s="25">
        <f t="shared" si="3"/>
        <v>0.25209683543432826</v>
      </c>
      <c r="M46" s="133">
        <v>36</v>
      </c>
      <c r="N46" s="45">
        <f t="shared" si="1"/>
        <v>521.54214086510081</v>
      </c>
      <c r="O46" s="48"/>
      <c r="Q46" s="104"/>
      <c r="R46" s="104"/>
      <c r="S46" s="104"/>
      <c r="T46" s="104"/>
      <c r="U46" s="104"/>
    </row>
    <row r="47" spans="1:21" x14ac:dyDescent="0.35">
      <c r="A47" s="3" t="s">
        <v>36</v>
      </c>
      <c r="B47" s="48"/>
      <c r="C47" s="134">
        <v>6363755.4728503563</v>
      </c>
      <c r="D47" s="134">
        <v>0</v>
      </c>
      <c r="E47" s="134">
        <v>0</v>
      </c>
      <c r="F47" s="134">
        <v>81450.801033908385</v>
      </c>
      <c r="G47" s="134">
        <v>173248.80759642037</v>
      </c>
      <c r="H47" s="135">
        <v>11907403.008531963</v>
      </c>
      <c r="I47" s="25">
        <f t="shared" si="0"/>
        <v>0</v>
      </c>
      <c r="J47" s="25">
        <f t="shared" si="0"/>
        <v>0</v>
      </c>
      <c r="K47" s="25">
        <f t="shared" si="2"/>
        <v>6.8403497366761479E-3</v>
      </c>
      <c r="L47" s="25">
        <f t="shared" si="3"/>
        <v>1.4549671953849475E-2</v>
      </c>
      <c r="M47" s="133">
        <v>966</v>
      </c>
      <c r="N47" s="45">
        <f t="shared" si="1"/>
        <v>84.317599413983842</v>
      </c>
      <c r="O47" s="48"/>
      <c r="Q47" s="104"/>
      <c r="R47" s="104"/>
      <c r="S47" s="104"/>
      <c r="T47" s="104"/>
      <c r="U47" s="104"/>
    </row>
    <row r="48" spans="1:21" x14ac:dyDescent="0.35">
      <c r="A48" s="3" t="s">
        <v>37</v>
      </c>
      <c r="B48" s="48"/>
      <c r="C48" s="134">
        <v>2261643.0036800033</v>
      </c>
      <c r="D48" s="134">
        <v>953711.90882290469</v>
      </c>
      <c r="E48" s="134">
        <v>0</v>
      </c>
      <c r="F48" s="134">
        <v>0</v>
      </c>
      <c r="G48" s="134">
        <v>0</v>
      </c>
      <c r="H48" s="135">
        <v>290882.90000000002</v>
      </c>
      <c r="I48" s="25">
        <f t="shared" si="0"/>
        <v>3.2786798702258011</v>
      </c>
      <c r="J48" s="25">
        <f t="shared" si="0"/>
        <v>0</v>
      </c>
      <c r="K48" s="25">
        <f t="shared" si="2"/>
        <v>0</v>
      </c>
      <c r="L48" s="25">
        <f t="shared" si="3"/>
        <v>0</v>
      </c>
      <c r="M48" s="133">
        <v>12</v>
      </c>
      <c r="N48" s="45">
        <f t="shared" si="1"/>
        <v>0</v>
      </c>
      <c r="O48" s="25">
        <f>SUM(F49,F45)/SUM(H49,H45)</f>
        <v>0.23937948509060694</v>
      </c>
      <c r="P48" t="s">
        <v>161</v>
      </c>
      <c r="Q48" s="104"/>
      <c r="R48" s="104"/>
      <c r="S48" s="104"/>
      <c r="T48" s="104"/>
      <c r="U48" s="104"/>
    </row>
    <row r="49" spans="1:21" x14ac:dyDescent="0.35">
      <c r="A49" s="3" t="s">
        <v>97</v>
      </c>
      <c r="B49" s="48"/>
      <c r="C49" s="134">
        <v>17039.870000000003</v>
      </c>
      <c r="D49" s="134">
        <v>27.255393148949402</v>
      </c>
      <c r="E49" s="134">
        <v>0</v>
      </c>
      <c r="F49" s="134">
        <v>971.79164035964698</v>
      </c>
      <c r="G49" s="134">
        <v>1884.3946210446152</v>
      </c>
      <c r="H49" s="136">
        <v>8.4</v>
      </c>
      <c r="I49" s="67">
        <f t="shared" si="0"/>
        <v>3.2446896605892146</v>
      </c>
      <c r="J49" s="25">
        <f t="shared" si="0"/>
        <v>0</v>
      </c>
      <c r="K49" s="25">
        <f>+F49/H49</f>
        <v>115.68948099519606</v>
      </c>
      <c r="L49" s="25">
        <f>G49/H49</f>
        <v>224.33269298150179</v>
      </c>
      <c r="M49" s="133">
        <v>24</v>
      </c>
      <c r="N49" s="45">
        <f t="shared" si="1"/>
        <v>40.491318348318622</v>
      </c>
      <c r="O49" s="25">
        <f>SUM(G49,G45)/SUM(H49,H45)</f>
        <v>0.51075362604005192</v>
      </c>
      <c r="P49" t="s">
        <v>162</v>
      </c>
      <c r="R49" s="104"/>
      <c r="S49" s="104"/>
      <c r="T49" s="104"/>
      <c r="U49" s="104"/>
    </row>
    <row r="50" spans="1:21" x14ac:dyDescent="0.35">
      <c r="A50" s="3" t="s">
        <v>104</v>
      </c>
      <c r="B50" s="48"/>
      <c r="C50" s="134">
        <v>161400.45000000001</v>
      </c>
      <c r="D50" s="134">
        <v>5887.3392885273897</v>
      </c>
      <c r="E50" s="134">
        <v>10.331394286072639</v>
      </c>
      <c r="F50" s="134">
        <v>8071.3625777875632</v>
      </c>
      <c r="G50" s="134">
        <v>15025.63173047614</v>
      </c>
      <c r="H50" s="136">
        <v>1500</v>
      </c>
      <c r="I50" s="67">
        <f t="shared" si="0"/>
        <v>3.9248928590182599</v>
      </c>
      <c r="J50" s="25">
        <f t="shared" si="0"/>
        <v>6.8875961907150923E-3</v>
      </c>
      <c r="K50" s="25">
        <f t="shared" si="2"/>
        <v>5.3809083851917086</v>
      </c>
      <c r="L50" s="25">
        <f t="shared" si="3"/>
        <v>10.017087820317427</v>
      </c>
      <c r="M50" s="133">
        <v>12</v>
      </c>
      <c r="N50" s="45">
        <f t="shared" si="1"/>
        <v>672.61354814896356</v>
      </c>
      <c r="O50" s="25">
        <f>SUM(G50,G44)/SUM(H50,H44)</f>
        <v>0.58453588979318905</v>
      </c>
      <c r="P50" t="s">
        <v>164</v>
      </c>
      <c r="R50" s="104"/>
      <c r="S50" s="104"/>
      <c r="T50" s="104"/>
      <c r="U50" s="104"/>
    </row>
    <row r="51" spans="1:21" x14ac:dyDescent="0.35">
      <c r="A51" s="3" t="s">
        <v>105</v>
      </c>
      <c r="B51" s="48"/>
      <c r="C51" s="134">
        <v>0</v>
      </c>
      <c r="D51" s="134">
        <v>0</v>
      </c>
      <c r="E51" s="134">
        <v>0</v>
      </c>
      <c r="F51" s="134">
        <v>0</v>
      </c>
      <c r="G51" s="134">
        <v>0</v>
      </c>
      <c r="H51" s="136">
        <v>0</v>
      </c>
      <c r="I51" s="67">
        <f>IF(H51=0,0,D51/$H51)</f>
        <v>0</v>
      </c>
      <c r="J51" s="67">
        <f>IF(H51=0,0,E51/$H51)</f>
        <v>0</v>
      </c>
      <c r="K51" s="25">
        <f>IF(H51=0,0,F51/H51)</f>
        <v>0</v>
      </c>
      <c r="L51" s="25">
        <f>IF(H51=0,0,G51/H51)</f>
        <v>0</v>
      </c>
      <c r="M51" s="133">
        <v>0</v>
      </c>
      <c r="N51" s="45">
        <f>IF(M51=0,0,F51/M51)</f>
        <v>0</v>
      </c>
      <c r="R51" s="104"/>
      <c r="S51" s="104"/>
      <c r="T51" s="104"/>
      <c r="U51" s="104"/>
    </row>
    <row r="52" spans="1:21" x14ac:dyDescent="0.35">
      <c r="A52" s="3" t="s">
        <v>115</v>
      </c>
      <c r="B52" s="48"/>
      <c r="C52" s="134">
        <v>0</v>
      </c>
      <c r="D52" s="134">
        <v>0</v>
      </c>
      <c r="E52" s="134">
        <v>0</v>
      </c>
      <c r="F52" s="134">
        <v>0</v>
      </c>
      <c r="G52" s="134">
        <v>0</v>
      </c>
      <c r="H52" s="136">
        <v>0</v>
      </c>
      <c r="I52" s="67">
        <f>IF(H52=0,0,D52/$H52)</f>
        <v>0</v>
      </c>
      <c r="J52" s="67">
        <f>IF(H52=0,0,E52/$H52)</f>
        <v>0</v>
      </c>
      <c r="K52" s="25">
        <f>IF(H52=0,0,F52/H52)</f>
        <v>0</v>
      </c>
      <c r="L52" s="25">
        <f>IF(H52=0,0,G52/H52)</f>
        <v>0</v>
      </c>
      <c r="M52" s="133">
        <v>0</v>
      </c>
      <c r="N52" s="45">
        <f>IF(M52=0,0,F52/M52)</f>
        <v>0</v>
      </c>
      <c r="R52" s="104"/>
      <c r="S52" s="104"/>
      <c r="T52" s="104"/>
      <c r="U52" s="104"/>
    </row>
    <row r="53" spans="1:21" x14ac:dyDescent="0.35">
      <c r="C53" s="4">
        <f>SUM(C43:C52)</f>
        <v>209522003.77398077</v>
      </c>
      <c r="D53" s="4">
        <f t="shared" ref="D53:H53" si="4">SUM(D43:D52)</f>
        <v>116430011.86121219</v>
      </c>
      <c r="E53" s="4">
        <f t="shared" si="4"/>
        <v>369540.68353499874</v>
      </c>
      <c r="F53" s="4">
        <f t="shared" si="4"/>
        <v>10181350.129238538</v>
      </c>
      <c r="G53" s="4">
        <f>SUM(G43:G52)</f>
        <v>21656100.949552592</v>
      </c>
      <c r="H53" s="104">
        <f t="shared" si="4"/>
        <v>43653219.496842466</v>
      </c>
      <c r="I53" s="94"/>
      <c r="J53" s="94"/>
      <c r="K53" s="25"/>
      <c r="M53" s="143">
        <f>SUM(M43:M52)</f>
        <v>3932315</v>
      </c>
      <c r="Q53" s="104"/>
      <c r="R53" s="104"/>
      <c r="S53" s="104"/>
      <c r="T53" s="104"/>
    </row>
    <row r="54" spans="1:21" x14ac:dyDescent="0.35">
      <c r="J54" s="22"/>
      <c r="S54" s="104"/>
    </row>
    <row r="57" spans="1:21" x14ac:dyDescent="0.35">
      <c r="A57" t="s">
        <v>156</v>
      </c>
      <c r="C57" t="s">
        <v>157</v>
      </c>
      <c r="D57" t="s">
        <v>158</v>
      </c>
      <c r="E57" t="s">
        <v>156</v>
      </c>
    </row>
    <row r="58" spans="1:21" x14ac:dyDescent="0.35">
      <c r="A58" s="3" t="s">
        <v>36</v>
      </c>
      <c r="C58" s="144">
        <f t="shared" ref="C58:C63" si="5">M47</f>
        <v>966</v>
      </c>
      <c r="D58">
        <v>938972.22055749339</v>
      </c>
      <c r="E58" s="138">
        <f>IF(D58=0,0,D58/C58)</f>
        <v>972.02093225413398</v>
      </c>
    </row>
    <row r="59" spans="1:21" x14ac:dyDescent="0.35">
      <c r="A59" s="3" t="s">
        <v>37</v>
      </c>
      <c r="C59" s="144">
        <f t="shared" si="5"/>
        <v>12</v>
      </c>
      <c r="D59">
        <v>198720.00220227966</v>
      </c>
      <c r="E59" s="138">
        <f t="shared" ref="E59:E63" si="6">IF(D59=0,0,D59/C59)</f>
        <v>16560.000183523305</v>
      </c>
    </row>
    <row r="60" spans="1:21" x14ac:dyDescent="0.35">
      <c r="A60" s="3" t="s">
        <v>97</v>
      </c>
      <c r="C60" s="144">
        <f t="shared" si="5"/>
        <v>24</v>
      </c>
      <c r="D60">
        <v>1200</v>
      </c>
      <c r="E60" s="138">
        <f t="shared" si="6"/>
        <v>50</v>
      </c>
    </row>
    <row r="61" spans="1:21" x14ac:dyDescent="0.35">
      <c r="A61" s="3" t="s">
        <v>104</v>
      </c>
      <c r="C61" s="144">
        <f t="shared" si="5"/>
        <v>12</v>
      </c>
      <c r="D61">
        <v>24000</v>
      </c>
      <c r="E61" s="138">
        <f t="shared" si="6"/>
        <v>2000</v>
      </c>
    </row>
    <row r="62" spans="1:21" x14ac:dyDescent="0.35">
      <c r="A62" s="3" t="s">
        <v>105</v>
      </c>
      <c r="C62" s="144">
        <f t="shared" si="5"/>
        <v>0</v>
      </c>
      <c r="D62" s="48">
        <v>0</v>
      </c>
      <c r="E62" s="145">
        <f t="shared" si="6"/>
        <v>0</v>
      </c>
      <c r="F62" s="48"/>
    </row>
    <row r="63" spans="1:21" x14ac:dyDescent="0.35">
      <c r="A63" s="3" t="s">
        <v>115</v>
      </c>
      <c r="C63" s="144">
        <f t="shared" si="5"/>
        <v>0</v>
      </c>
      <c r="D63" s="48">
        <v>0</v>
      </c>
      <c r="E63" s="145">
        <f t="shared" si="6"/>
        <v>0</v>
      </c>
      <c r="F63" s="48"/>
    </row>
  </sheetData>
  <pageMargins left="0.7" right="0.7" top="0.75" bottom="0.75" header="0.3" footer="0.3"/>
  <pageSetup paperSize="3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"/>
  <sheetViews>
    <sheetView workbookViewId="0"/>
  </sheetViews>
  <sheetFormatPr defaultColWidth="9.1796875" defaultRowHeight="12.5" x14ac:dyDescent="0.25"/>
  <cols>
    <col min="1" max="16384" width="9.1796875" style="53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39"/>
  <sheetViews>
    <sheetView zoomScale="70" zoomScaleNormal="70" zoomScaleSheetLayoutView="80" workbookViewId="0">
      <selection sqref="A1:P1"/>
    </sheetView>
  </sheetViews>
  <sheetFormatPr defaultColWidth="9.1796875" defaultRowHeight="12.5" x14ac:dyDescent="0.25"/>
  <cols>
    <col min="1" max="1" width="9.26953125" style="26" bestFit="1" customWidth="1"/>
    <col min="2" max="2" width="2" style="26" customWidth="1"/>
    <col min="3" max="7" width="12" style="26" customWidth="1"/>
    <col min="8" max="10" width="11.90625" style="26" customWidth="1"/>
    <col min="11" max="11" width="12.7265625" style="26" bestFit="1" customWidth="1"/>
    <col min="12" max="12" width="12" style="26" customWidth="1"/>
    <col min="13" max="15" width="13.1796875" style="26" customWidth="1"/>
    <col min="16" max="16" width="12" style="26" customWidth="1"/>
    <col min="17" max="20" width="4.26953125" style="26" customWidth="1"/>
    <col min="21" max="21" width="9.7265625" style="26" bestFit="1" customWidth="1"/>
    <col min="22" max="22" width="12.54296875" style="26" bestFit="1" customWidth="1"/>
    <col min="23" max="23" width="10.81640625" style="26" bestFit="1" customWidth="1"/>
    <col min="24" max="24" width="9.26953125" style="26" bestFit="1" customWidth="1"/>
    <col min="25" max="25" width="9.1796875" style="26"/>
    <col min="26" max="26" width="12.54296875" style="26" customWidth="1"/>
    <col min="27" max="27" width="10.81640625" style="26" bestFit="1" customWidth="1"/>
    <col min="28" max="28" width="15.54296875" style="26" bestFit="1" customWidth="1"/>
    <col min="29" max="29" width="15.1796875" style="26" bestFit="1" customWidth="1"/>
    <col min="30" max="30" width="9.26953125" style="26" bestFit="1" customWidth="1"/>
    <col min="31" max="31" width="9.1796875" style="26"/>
    <col min="32" max="32" width="12.26953125" style="26" customWidth="1"/>
    <col min="33" max="16384" width="9.1796875" style="26"/>
  </cols>
  <sheetData>
    <row r="1" spans="1:34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34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34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34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W4" s="141"/>
      <c r="X4" s="142"/>
      <c r="Y4" s="142"/>
      <c r="Z4" s="142"/>
      <c r="AA4" s="142"/>
      <c r="AB4" s="142"/>
      <c r="AC4" s="142"/>
      <c r="AD4" s="142"/>
      <c r="AE4" s="142"/>
      <c r="AF4" s="142"/>
      <c r="AG4" s="142"/>
    </row>
    <row r="5" spans="1:34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34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34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N7" s="74"/>
      <c r="O7" s="74"/>
      <c r="P7" s="74" t="str">
        <f>+'Rate Case Constants'!C25</f>
        <v>SCHEDULE N (Gas)</v>
      </c>
    </row>
    <row r="8" spans="1:34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5"/>
      <c r="O8" s="75"/>
      <c r="P8" s="75" t="str">
        <f>+'Rate Case Constants'!I8</f>
        <v>PAGE 1 OF 13</v>
      </c>
    </row>
    <row r="9" spans="1:34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4"/>
      <c r="O9" s="74"/>
      <c r="P9" s="74" t="str">
        <f>+'Rate Case Constants'!C36</f>
        <v>WITNESS:   R. M. CONROY</v>
      </c>
    </row>
    <row r="10" spans="1:34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4"/>
      <c r="O10" s="84"/>
      <c r="P10" s="84"/>
      <c r="Q10" s="69"/>
      <c r="R10" s="69"/>
      <c r="S10" s="69"/>
      <c r="T10" s="69"/>
      <c r="U10" s="108" t="s">
        <v>26</v>
      </c>
      <c r="V10" s="110">
        <f>INPUT!I43</f>
        <v>3.7454139307501384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13" x14ac:dyDescent="0.3">
      <c r="A11" s="80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9"/>
      <c r="R11" s="69"/>
      <c r="S11" s="69"/>
      <c r="T11" s="69"/>
      <c r="U11" s="108" t="s">
        <v>23</v>
      </c>
      <c r="V11" s="109">
        <f>INPUT!J43</f>
        <v>1.2086571922343484E-2</v>
      </c>
      <c r="W11" s="12"/>
      <c r="X11" s="12"/>
      <c r="Y11" s="18"/>
      <c r="Z11" s="12"/>
      <c r="AA11" s="12"/>
      <c r="AB11" s="12"/>
      <c r="AC11" s="12"/>
      <c r="AD11" s="27"/>
      <c r="AE11" s="27"/>
      <c r="AF11" s="27"/>
      <c r="AG11" s="27"/>
      <c r="AH11" s="27"/>
    </row>
    <row r="12" spans="1:34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72" t="s">
        <v>27</v>
      </c>
      <c r="V12" s="107">
        <f>INPUT!K43</f>
        <v>0.3531351186385901</v>
      </c>
      <c r="W12" s="12"/>
      <c r="X12" s="12"/>
      <c r="Y12" s="12"/>
      <c r="Z12" s="12"/>
      <c r="AA12" s="12"/>
      <c r="AB12" s="12"/>
      <c r="AC12" s="12"/>
      <c r="AD12" s="27"/>
      <c r="AE12" s="27"/>
      <c r="AF12" s="27"/>
      <c r="AG12" s="27"/>
      <c r="AH12" s="27"/>
    </row>
    <row r="13" spans="1:34" ht="13" x14ac:dyDescent="0.3">
      <c r="A13" s="12"/>
      <c r="B13" s="12"/>
      <c r="C13" s="13" t="s">
        <v>68</v>
      </c>
      <c r="D13" s="14" t="s">
        <v>76</v>
      </c>
      <c r="E13" s="14" t="s">
        <v>69</v>
      </c>
      <c r="F13" s="14" t="s">
        <v>70</v>
      </c>
      <c r="G13" s="13" t="s">
        <v>71</v>
      </c>
      <c r="H13" s="13" t="s">
        <v>72</v>
      </c>
      <c r="I13" s="13" t="s">
        <v>77</v>
      </c>
      <c r="J13" s="14" t="s">
        <v>73</v>
      </c>
      <c r="K13" s="13" t="s">
        <v>74</v>
      </c>
      <c r="L13" s="13" t="s">
        <v>75</v>
      </c>
      <c r="M13" s="13" t="s">
        <v>139</v>
      </c>
      <c r="N13" s="13" t="s">
        <v>140</v>
      </c>
      <c r="O13" s="13" t="s">
        <v>141</v>
      </c>
      <c r="P13" s="13" t="s">
        <v>142</v>
      </c>
      <c r="U13" s="12"/>
      <c r="V13" s="12"/>
      <c r="W13" s="12"/>
      <c r="X13" s="12"/>
      <c r="AD13" s="27"/>
      <c r="AE13" s="27"/>
      <c r="AF13" s="27"/>
      <c r="AG13" s="27"/>
      <c r="AH13" s="27"/>
    </row>
    <row r="14" spans="1:34" ht="13" x14ac:dyDescent="0.3">
      <c r="A14" s="27"/>
      <c r="B14" s="27"/>
      <c r="C14" s="62" t="s">
        <v>92</v>
      </c>
      <c r="D14" s="62" t="s">
        <v>92</v>
      </c>
      <c r="E14" s="62" t="s">
        <v>27</v>
      </c>
      <c r="F14" s="27"/>
      <c r="G14" s="27"/>
      <c r="H14" s="27"/>
      <c r="I14" s="27"/>
      <c r="J14" s="27"/>
      <c r="K14" s="13" t="s">
        <v>18</v>
      </c>
      <c r="L14" s="13" t="s">
        <v>18</v>
      </c>
      <c r="M14" s="13"/>
      <c r="N14" s="13" t="s">
        <v>175</v>
      </c>
      <c r="O14" s="13" t="s">
        <v>18</v>
      </c>
      <c r="P14" s="13"/>
      <c r="U14" s="19" t="s">
        <v>0</v>
      </c>
      <c r="V14" s="19"/>
      <c r="W14" s="19"/>
      <c r="X14" s="27"/>
      <c r="Y14" s="19" t="s">
        <v>17</v>
      </c>
      <c r="Z14" s="19"/>
      <c r="AA14" s="19"/>
      <c r="AB14" s="19"/>
      <c r="AC14" s="19"/>
      <c r="AD14" s="27"/>
      <c r="AE14" s="27"/>
      <c r="AF14" s="27"/>
      <c r="AG14" s="27"/>
      <c r="AH14" s="27"/>
    </row>
    <row r="15" spans="1:34" ht="13" x14ac:dyDescent="0.3">
      <c r="A15" s="27"/>
      <c r="B15" s="27"/>
      <c r="C15" s="13" t="s">
        <v>13</v>
      </c>
      <c r="D15" s="13" t="s">
        <v>19</v>
      </c>
      <c r="E15" s="13" t="s">
        <v>152</v>
      </c>
      <c r="F15" s="13"/>
      <c r="G15" s="13"/>
      <c r="H15" s="148" t="s">
        <v>20</v>
      </c>
      <c r="I15" s="148"/>
      <c r="J15" s="149"/>
      <c r="K15" s="13" t="s">
        <v>13</v>
      </c>
      <c r="L15" s="13" t="s">
        <v>19</v>
      </c>
      <c r="M15" s="13"/>
      <c r="N15" s="13" t="s">
        <v>176</v>
      </c>
      <c r="O15" s="13" t="s">
        <v>19</v>
      </c>
      <c r="P15" s="13"/>
      <c r="U15" s="14" t="s">
        <v>29</v>
      </c>
      <c r="V15" s="13"/>
      <c r="W15" s="14"/>
      <c r="X15" s="27"/>
      <c r="Y15" s="14" t="s">
        <v>29</v>
      </c>
      <c r="Z15" s="13"/>
      <c r="AA15" s="14"/>
      <c r="AB15" s="14" t="s">
        <v>154</v>
      </c>
      <c r="AC15" s="14" t="s">
        <v>143</v>
      </c>
      <c r="AD15" s="27"/>
      <c r="AE15" s="27"/>
      <c r="AF15" s="27"/>
      <c r="AG15" s="27"/>
      <c r="AH15" s="27"/>
    </row>
    <row r="16" spans="1:34" ht="13" x14ac:dyDescent="0.3">
      <c r="A16" s="13"/>
      <c r="B16" s="13"/>
      <c r="C16" s="13" t="s">
        <v>21</v>
      </c>
      <c r="D16" s="13" t="s">
        <v>21</v>
      </c>
      <c r="E16" s="13" t="s">
        <v>153</v>
      </c>
      <c r="F16" s="13" t="s">
        <v>22</v>
      </c>
      <c r="G16" s="13" t="s">
        <v>22</v>
      </c>
      <c r="H16" s="13" t="s">
        <v>26</v>
      </c>
      <c r="I16" s="13" t="s">
        <v>23</v>
      </c>
      <c r="J16" s="13" t="s">
        <v>27</v>
      </c>
      <c r="K16" s="13" t="s">
        <v>21</v>
      </c>
      <c r="L16" s="13" t="s">
        <v>21</v>
      </c>
      <c r="M16" s="13" t="s">
        <v>22</v>
      </c>
      <c r="N16" s="13" t="s">
        <v>143</v>
      </c>
      <c r="O16" s="13" t="s">
        <v>144</v>
      </c>
      <c r="P16" s="13" t="s">
        <v>22</v>
      </c>
      <c r="U16" s="14" t="s">
        <v>30</v>
      </c>
      <c r="V16" s="13" t="s">
        <v>93</v>
      </c>
      <c r="W16" s="14" t="s">
        <v>18</v>
      </c>
      <c r="X16" s="27"/>
      <c r="Y16" s="14" t="s">
        <v>30</v>
      </c>
      <c r="Z16" s="13" t="s">
        <v>93</v>
      </c>
      <c r="AA16" s="14" t="s">
        <v>18</v>
      </c>
      <c r="AB16" s="14">
        <f>INPUT!L43</f>
        <v>0.75113120371998066</v>
      </c>
      <c r="AC16" s="14">
        <f>INPUT!C34</f>
        <v>-6.1899999999999997E-2</v>
      </c>
      <c r="AD16" s="27"/>
      <c r="AE16" s="17"/>
      <c r="AF16" s="13"/>
      <c r="AG16" s="13"/>
      <c r="AH16" s="13"/>
    </row>
    <row r="17" spans="1:34" ht="13" x14ac:dyDescent="0.3">
      <c r="A17" s="13" t="s">
        <v>123</v>
      </c>
      <c r="B17" s="76"/>
      <c r="C17" s="76"/>
      <c r="D17" s="76"/>
      <c r="E17" s="76"/>
      <c r="F17" s="76" t="s">
        <v>24</v>
      </c>
      <c r="G17" s="77" t="s">
        <v>25</v>
      </c>
      <c r="H17" s="78"/>
      <c r="I17" s="78"/>
      <c r="J17" s="79"/>
      <c r="K17" s="76" t="s">
        <v>24</v>
      </c>
      <c r="L17" s="76" t="s">
        <v>24</v>
      </c>
      <c r="M17" s="77" t="s">
        <v>25</v>
      </c>
      <c r="N17" s="77"/>
      <c r="O17" s="77" t="s">
        <v>143</v>
      </c>
      <c r="P17" s="77" t="s">
        <v>25</v>
      </c>
      <c r="U17" s="32" t="s">
        <v>31</v>
      </c>
      <c r="V17" s="33" t="s">
        <v>31</v>
      </c>
      <c r="W17" s="32" t="s">
        <v>21</v>
      </c>
      <c r="X17" s="27"/>
      <c r="Y17" s="32" t="s">
        <v>31</v>
      </c>
      <c r="Z17" s="33" t="s">
        <v>31</v>
      </c>
      <c r="AA17" s="32" t="s">
        <v>21</v>
      </c>
      <c r="AB17" s="111" t="s">
        <v>147</v>
      </c>
      <c r="AC17" s="111" t="s">
        <v>147</v>
      </c>
      <c r="AD17" s="27"/>
      <c r="AE17" s="17"/>
      <c r="AF17" s="13"/>
      <c r="AG17" s="13"/>
      <c r="AH17" s="13"/>
    </row>
    <row r="18" spans="1:34" ht="13" x14ac:dyDescent="0.3">
      <c r="A18" s="71"/>
      <c r="B18" s="71"/>
      <c r="C18" s="71"/>
      <c r="D18" s="71"/>
      <c r="E18" s="112"/>
      <c r="F18" s="116" t="str">
        <f>("[ "&amp;D13&amp;" - ("&amp;E13&amp;" + "&amp;C13&amp;") ]")</f>
        <v>[ B - (C + A) ]</v>
      </c>
      <c r="G18" s="116" t="str">
        <f>("[ "&amp;F13&amp;" / "&amp;C13&amp;" ]")</f>
        <v>[ D / A ]</v>
      </c>
      <c r="H18" s="117"/>
      <c r="I18" s="117"/>
      <c r="J18" s="117"/>
      <c r="K18" s="116" t="str">
        <f>("["&amp;C13&amp;"+"&amp;E13&amp;"+"&amp;$H$13&amp;"+"&amp;$I$13&amp;"+"&amp;$J$13&amp;"]")</f>
        <v>[A+C+F+G+H]</v>
      </c>
      <c r="L18" s="116" t="str">
        <f>("["&amp;D13&amp;"+"&amp;H13&amp;"+"&amp;I13&amp;"+"&amp;J13&amp;"]")</f>
        <v>[B+F+G+H]</v>
      </c>
      <c r="M18" s="71" t="str">
        <f>("[("&amp;L13&amp;" - "&amp;K13&amp;") / "&amp;K13&amp;"]")</f>
        <v>[(J - I) / I]</v>
      </c>
      <c r="N18" s="112"/>
      <c r="O18" s="112" t="s">
        <v>145</v>
      </c>
      <c r="P18" s="112" t="s">
        <v>146</v>
      </c>
      <c r="U18" s="14"/>
      <c r="V18" s="20">
        <f>+INPUT!$C$9</f>
        <v>3.6781999999999999</v>
      </c>
      <c r="W18" s="14"/>
      <c r="X18" s="27"/>
      <c r="Y18" s="14"/>
      <c r="Z18" s="20">
        <f>+INPUT!$C$27</f>
        <v>4.8398000000000003</v>
      </c>
      <c r="AA18" s="14"/>
      <c r="AB18" s="14"/>
      <c r="AC18" s="14"/>
      <c r="AD18" s="27"/>
      <c r="AE18" s="17"/>
      <c r="AF18" s="13"/>
      <c r="AG18" s="13"/>
      <c r="AH18" s="13"/>
    </row>
    <row r="19" spans="1:34" ht="13" x14ac:dyDescent="0.3">
      <c r="A19" s="13"/>
      <c r="B19" s="13"/>
      <c r="C19" s="13"/>
      <c r="D19" s="13"/>
      <c r="E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U19" s="14"/>
      <c r="V19" s="14" t="s">
        <v>94</v>
      </c>
      <c r="W19" s="14"/>
      <c r="X19" s="27"/>
      <c r="Y19" s="14"/>
      <c r="Z19" s="14" t="s">
        <v>94</v>
      </c>
      <c r="AA19" s="14"/>
      <c r="AB19" s="14"/>
      <c r="AC19" s="14"/>
      <c r="AD19" s="27"/>
      <c r="AE19" s="17"/>
      <c r="AF19" s="13"/>
      <c r="AG19" s="13"/>
      <c r="AH19" s="13"/>
    </row>
    <row r="20" spans="1:34" x14ac:dyDescent="0.25">
      <c r="A20" s="44">
        <v>3</v>
      </c>
      <c r="C20" s="28">
        <f>+W20</f>
        <v>30.814374999999998</v>
      </c>
      <c r="D20" s="28">
        <f>+AA20</f>
        <v>38.261249999999997</v>
      </c>
      <c r="E20" s="28">
        <f>AB20</f>
        <v>2.25</v>
      </c>
      <c r="F20" s="28">
        <f>+D20-(E20+C20)</f>
        <v>5.1968749999999986</v>
      </c>
      <c r="G20" s="29">
        <f>ROUND(+F20/C20,4)</f>
        <v>0.16869999999999999</v>
      </c>
      <c r="H20" s="28">
        <f>ROUND($A20*$V$10,2)</f>
        <v>11.24</v>
      </c>
      <c r="I20" s="28">
        <f>ROUND($A20*$V$11,2)</f>
        <v>0.04</v>
      </c>
      <c r="J20" s="28">
        <f>ROUND($V$12*A20,2)</f>
        <v>1.06</v>
      </c>
      <c r="K20" s="28">
        <f>+C20+E20+H20+I20+J20</f>
        <v>45.404375000000002</v>
      </c>
      <c r="L20" s="28">
        <f>+D20+H20+I20+J20</f>
        <v>50.60125</v>
      </c>
      <c r="M20" s="29">
        <f>ROUND((L20-K20)/K20,4)</f>
        <v>0.1145</v>
      </c>
      <c r="N20" s="28">
        <f>AC20</f>
        <v>-0.19</v>
      </c>
      <c r="O20" s="28">
        <f>L20+N20</f>
        <v>50.411250000000003</v>
      </c>
      <c r="P20" s="29">
        <f>ROUND((O20-K20)/K20,4)</f>
        <v>0.1103</v>
      </c>
      <c r="U20" s="30">
        <f>+INPUT!$C$5</f>
        <v>19.784375000000001</v>
      </c>
      <c r="V20" s="30">
        <f>ROUND($V$18*$A20,2)</f>
        <v>11.03</v>
      </c>
      <c r="W20" s="30">
        <f>SUM(U20:V20)</f>
        <v>30.814374999999998</v>
      </c>
      <c r="Y20" s="30">
        <f>+INPUT!$C$22</f>
        <v>23.741249999999997</v>
      </c>
      <c r="Z20" s="30">
        <f>ROUND($Z$18*$A20,2)</f>
        <v>14.52</v>
      </c>
      <c r="AA20" s="30">
        <f>SUM(Y20:Z20)</f>
        <v>38.261249999999997</v>
      </c>
      <c r="AB20" s="30">
        <f>ROUND($AB$16*A20,2)</f>
        <v>2.25</v>
      </c>
      <c r="AC20" s="30">
        <f>ROUND($AC$16*A20,2)</f>
        <v>-0.19</v>
      </c>
      <c r="AD20" s="63"/>
      <c r="AE20" s="63"/>
    </row>
    <row r="21" spans="1:34" x14ac:dyDescent="0.25">
      <c r="A21" s="44"/>
      <c r="C21" s="27"/>
      <c r="D21" s="27"/>
      <c r="E21" s="27"/>
      <c r="F21" s="28"/>
      <c r="K21" s="28"/>
      <c r="L21" s="27"/>
      <c r="M21" s="27"/>
      <c r="N21" s="27"/>
      <c r="O21" s="27"/>
      <c r="P21" s="27"/>
      <c r="AB21" s="30"/>
      <c r="AC21" s="30"/>
    </row>
    <row r="22" spans="1:34" x14ac:dyDescent="0.25">
      <c r="A22" s="88">
        <f>ROUND(INPUT!C17,1)</f>
        <v>5.4</v>
      </c>
      <c r="B22" s="89"/>
      <c r="C22" s="90">
        <f>+W22</f>
        <v>39.644374999999997</v>
      </c>
      <c r="D22" s="90">
        <f>+AA22</f>
        <v>49.871249999999996</v>
      </c>
      <c r="E22" s="90">
        <f t="shared" ref="E22:E34" si="0">AB22</f>
        <v>4.0599999999999996</v>
      </c>
      <c r="F22" s="90">
        <f t="shared" ref="F22:F34" si="1">+D22-(E22+C22)</f>
        <v>6.1668749999999974</v>
      </c>
      <c r="G22" s="91">
        <f>ROUND(+F22/C22,4)</f>
        <v>0.15559999999999999</v>
      </c>
      <c r="H22" s="90">
        <f>ROUND($A22*$V$10,2)</f>
        <v>20.23</v>
      </c>
      <c r="I22" s="90">
        <f>ROUND($A22*$V$11,2)</f>
        <v>7.0000000000000007E-2</v>
      </c>
      <c r="J22" s="90">
        <f>ROUND($V$12*A22,2)</f>
        <v>1.91</v>
      </c>
      <c r="K22" s="90">
        <f t="shared" ref="K22:K32" si="2">+C22+E22+H22+I22+J22</f>
        <v>65.914374999999993</v>
      </c>
      <c r="L22" s="90">
        <f>+D22+H22+I22+J22</f>
        <v>72.081249999999983</v>
      </c>
      <c r="M22" s="91">
        <f>ROUND((L22-K22)/K22,4)</f>
        <v>9.3600000000000003E-2</v>
      </c>
      <c r="N22" s="90">
        <f t="shared" ref="N22:N34" si="3">AC22</f>
        <v>-0.33</v>
      </c>
      <c r="O22" s="90">
        <f t="shared" ref="O22:O34" si="4">L22+N22</f>
        <v>71.751249999999985</v>
      </c>
      <c r="P22" s="91">
        <f t="shared" ref="P22:P34" si="5">ROUND((O22-K22)/K22,4)</f>
        <v>8.8599999999999998E-2</v>
      </c>
      <c r="U22" s="30">
        <f>+$U$20</f>
        <v>19.784375000000001</v>
      </c>
      <c r="V22" s="30">
        <f>ROUND($V$18*$A22,2)</f>
        <v>19.86</v>
      </c>
      <c r="W22" s="30">
        <f>SUM(U22:V22)</f>
        <v>39.644374999999997</v>
      </c>
      <c r="Y22" s="30">
        <f>+$Y$20</f>
        <v>23.741249999999997</v>
      </c>
      <c r="Z22" s="30">
        <f>ROUND($Z$18*$A22,2)</f>
        <v>26.13</v>
      </c>
      <c r="AA22" s="30">
        <f>SUM(Y22:Z22)</f>
        <v>49.871249999999996</v>
      </c>
      <c r="AB22" s="30">
        <f t="shared" ref="AB22:AB34" si="6">ROUND($AB$16*A22,2)</f>
        <v>4.0599999999999996</v>
      </c>
      <c r="AC22" s="30">
        <f t="shared" ref="AC22:AC34" si="7">ROUND($AC$16*A22,2)</f>
        <v>-0.33</v>
      </c>
      <c r="AD22" s="63"/>
      <c r="AE22" s="63"/>
    </row>
    <row r="23" spans="1:34" x14ac:dyDescent="0.25">
      <c r="A23" s="44"/>
      <c r="C23" s="28"/>
      <c r="D23" s="28"/>
      <c r="E23" s="28"/>
      <c r="F23" s="28"/>
      <c r="K23" s="28"/>
      <c r="L23" s="28"/>
      <c r="M23" s="29"/>
      <c r="N23" s="28"/>
      <c r="O23" s="28"/>
      <c r="P23" s="29"/>
      <c r="AB23" s="30"/>
      <c r="AC23" s="30"/>
    </row>
    <row r="24" spans="1:34" x14ac:dyDescent="0.25">
      <c r="A24" s="44">
        <v>10</v>
      </c>
      <c r="C24" s="28">
        <f>+W24</f>
        <v>56.564374999999998</v>
      </c>
      <c r="D24" s="28">
        <f>+AA24</f>
        <v>72.141249999999999</v>
      </c>
      <c r="E24" s="28">
        <f t="shared" si="0"/>
        <v>7.51</v>
      </c>
      <c r="F24" s="28">
        <f t="shared" si="1"/>
        <v>8.066874999999996</v>
      </c>
      <c r="G24" s="29">
        <f>ROUND(+F24/C24,4)</f>
        <v>0.1426</v>
      </c>
      <c r="H24" s="28">
        <f>ROUND($A24*$V$10,2)</f>
        <v>37.450000000000003</v>
      </c>
      <c r="I24" s="28">
        <f>ROUND($A24*$V$11,2)</f>
        <v>0.12</v>
      </c>
      <c r="J24" s="28">
        <f>ROUND($V$12*A24,2)</f>
        <v>3.53</v>
      </c>
      <c r="K24" s="28">
        <f t="shared" si="2"/>
        <v>105.17437500000001</v>
      </c>
      <c r="L24" s="28">
        <f>+D24+H24+I24+J24</f>
        <v>113.24125000000001</v>
      </c>
      <c r="M24" s="29">
        <f>ROUND((L24-K24)/K24,4)</f>
        <v>7.6700000000000004E-2</v>
      </c>
      <c r="N24" s="28">
        <f t="shared" si="3"/>
        <v>-0.62</v>
      </c>
      <c r="O24" s="28">
        <f t="shared" si="4"/>
        <v>112.62125</v>
      </c>
      <c r="P24" s="29">
        <f t="shared" si="5"/>
        <v>7.0800000000000002E-2</v>
      </c>
      <c r="U24" s="30">
        <f>+$U$20</f>
        <v>19.784375000000001</v>
      </c>
      <c r="V24" s="30">
        <f>ROUND($V$18*$A24,2)</f>
        <v>36.78</v>
      </c>
      <c r="W24" s="30">
        <f>SUM(U24:V24)</f>
        <v>56.564374999999998</v>
      </c>
      <c r="Y24" s="30">
        <f>+$Y$20</f>
        <v>23.741249999999997</v>
      </c>
      <c r="Z24" s="30">
        <f>ROUND($Z$18*$A24,2)</f>
        <v>48.4</v>
      </c>
      <c r="AA24" s="30">
        <f>SUM(Y24:Z24)</f>
        <v>72.141249999999999</v>
      </c>
      <c r="AB24" s="30">
        <f t="shared" si="6"/>
        <v>7.51</v>
      </c>
      <c r="AC24" s="30">
        <f t="shared" si="7"/>
        <v>-0.62</v>
      </c>
      <c r="AE24" s="63"/>
    </row>
    <row r="25" spans="1:34" x14ac:dyDescent="0.25">
      <c r="A25" s="44"/>
      <c r="C25" s="27"/>
      <c r="D25" s="27"/>
      <c r="E25" s="27"/>
      <c r="F25" s="28"/>
      <c r="K25" s="28"/>
      <c r="L25" s="27"/>
      <c r="M25" s="27"/>
      <c r="N25" s="27"/>
      <c r="O25" s="27"/>
      <c r="P25" s="27"/>
      <c r="AB25" s="30"/>
      <c r="AC25" s="30"/>
    </row>
    <row r="26" spans="1:34" x14ac:dyDescent="0.25">
      <c r="A26" s="44">
        <v>20</v>
      </c>
      <c r="C26" s="31">
        <f>+W26</f>
        <v>93.344374999999999</v>
      </c>
      <c r="D26" s="31">
        <f>+AA26</f>
        <v>120.54124999999999</v>
      </c>
      <c r="E26" s="31">
        <f t="shared" si="0"/>
        <v>15.02</v>
      </c>
      <c r="F26" s="28">
        <f t="shared" si="1"/>
        <v>12.176874999999995</v>
      </c>
      <c r="G26" s="29">
        <f>ROUND(+F26/C26,4)</f>
        <v>0.1305</v>
      </c>
      <c r="H26" s="28">
        <f>ROUND($A26*$V$10,2)</f>
        <v>74.91</v>
      </c>
      <c r="I26" s="28">
        <f>ROUND($A26*$V$11,2)</f>
        <v>0.24</v>
      </c>
      <c r="J26" s="28">
        <f>ROUND($V$12*A26,2)</f>
        <v>7.06</v>
      </c>
      <c r="K26" s="28">
        <f t="shared" si="2"/>
        <v>190.574375</v>
      </c>
      <c r="L26" s="28">
        <f>+D26+H26+I26+J26</f>
        <v>202.75125</v>
      </c>
      <c r="M26" s="29">
        <f>ROUND((L26-K26)/K26,4)</f>
        <v>6.3899999999999998E-2</v>
      </c>
      <c r="N26" s="28">
        <f t="shared" si="3"/>
        <v>-1.24</v>
      </c>
      <c r="O26" s="28">
        <f t="shared" si="4"/>
        <v>201.51124999999999</v>
      </c>
      <c r="P26" s="29">
        <f t="shared" si="5"/>
        <v>5.74E-2</v>
      </c>
      <c r="U26" s="30">
        <f>+$U$20</f>
        <v>19.784375000000001</v>
      </c>
      <c r="V26" s="30">
        <f>ROUND($V$18*$A26,2)</f>
        <v>73.56</v>
      </c>
      <c r="W26" s="30">
        <f>SUM(U26:V26)</f>
        <v>93.344374999999999</v>
      </c>
      <c r="Y26" s="30">
        <f>+$Y$20</f>
        <v>23.741249999999997</v>
      </c>
      <c r="Z26" s="30">
        <f>ROUND($Z$18*$A26,2)</f>
        <v>96.8</v>
      </c>
      <c r="AA26" s="30">
        <f>SUM(Y26:Z26)</f>
        <v>120.54124999999999</v>
      </c>
      <c r="AB26" s="30">
        <f t="shared" si="6"/>
        <v>15.02</v>
      </c>
      <c r="AC26" s="30">
        <f t="shared" si="7"/>
        <v>-1.24</v>
      </c>
      <c r="AE26" s="63"/>
    </row>
    <row r="27" spans="1:34" x14ac:dyDescent="0.25">
      <c r="A27" s="44"/>
      <c r="C27" s="27"/>
      <c r="D27" s="27"/>
      <c r="E27" s="27"/>
      <c r="F27" s="28"/>
      <c r="K27" s="28"/>
      <c r="L27" s="27"/>
      <c r="M27" s="27"/>
      <c r="N27" s="27"/>
      <c r="O27" s="27"/>
      <c r="P27" s="27"/>
      <c r="AB27" s="30"/>
      <c r="AC27" s="30"/>
    </row>
    <row r="28" spans="1:34" x14ac:dyDescent="0.25">
      <c r="A28" s="44">
        <v>40</v>
      </c>
      <c r="C28" s="28">
        <f>+W28</f>
        <v>166.91437500000001</v>
      </c>
      <c r="D28" s="28">
        <f>+AA28</f>
        <v>217.33125000000001</v>
      </c>
      <c r="E28" s="28">
        <f t="shared" si="0"/>
        <v>30.05</v>
      </c>
      <c r="F28" s="28">
        <f t="shared" si="1"/>
        <v>20.366874999999993</v>
      </c>
      <c r="G28" s="29">
        <f>ROUND(+F28/C28,4)</f>
        <v>0.122</v>
      </c>
      <c r="H28" s="28">
        <f>ROUND($A28*$V$10,2)</f>
        <v>149.82</v>
      </c>
      <c r="I28" s="28">
        <f>ROUND($A28*$V$11,2)</f>
        <v>0.48</v>
      </c>
      <c r="J28" s="28">
        <f>ROUND($V$12*A28,2)</f>
        <v>14.13</v>
      </c>
      <c r="K28" s="28">
        <f t="shared" si="2"/>
        <v>361.39437500000003</v>
      </c>
      <c r="L28" s="28">
        <f>+D28+H28+I28+J28</f>
        <v>381.76125000000002</v>
      </c>
      <c r="M28" s="29">
        <f>ROUND((L28-K28)/K28,4)</f>
        <v>5.6399999999999999E-2</v>
      </c>
      <c r="N28" s="28">
        <f t="shared" si="3"/>
        <v>-2.48</v>
      </c>
      <c r="O28" s="28">
        <f t="shared" si="4"/>
        <v>379.28125</v>
      </c>
      <c r="P28" s="29">
        <f t="shared" si="5"/>
        <v>4.9500000000000002E-2</v>
      </c>
      <c r="U28" s="30">
        <f>+$U$20</f>
        <v>19.784375000000001</v>
      </c>
      <c r="V28" s="30">
        <f>ROUND($V$18*$A28,2)</f>
        <v>147.13</v>
      </c>
      <c r="W28" s="30">
        <f>SUM(U28:V28)</f>
        <v>166.91437500000001</v>
      </c>
      <c r="Y28" s="30">
        <f>+$Y$20</f>
        <v>23.741249999999997</v>
      </c>
      <c r="Z28" s="30">
        <f>ROUND($Z$18*$A28,2)</f>
        <v>193.59</v>
      </c>
      <c r="AA28" s="30">
        <f>SUM(Y28:Z28)</f>
        <v>217.33125000000001</v>
      </c>
      <c r="AB28" s="30">
        <f t="shared" si="6"/>
        <v>30.05</v>
      </c>
      <c r="AC28" s="30">
        <f t="shared" si="7"/>
        <v>-2.48</v>
      </c>
      <c r="AE28" s="63"/>
    </row>
    <row r="29" spans="1:34" x14ac:dyDescent="0.25">
      <c r="A29" s="44"/>
      <c r="C29" s="27"/>
      <c r="D29" s="27"/>
      <c r="E29" s="27"/>
      <c r="F29" s="28"/>
      <c r="K29" s="28"/>
      <c r="L29" s="27"/>
      <c r="M29" s="27"/>
      <c r="N29" s="27"/>
      <c r="O29" s="27"/>
      <c r="P29" s="27"/>
      <c r="AB29" s="30"/>
      <c r="AC29" s="30"/>
    </row>
    <row r="30" spans="1:34" x14ac:dyDescent="0.25">
      <c r="A30" s="44">
        <v>60</v>
      </c>
      <c r="C30" s="28">
        <f>+W30</f>
        <v>240.47437500000001</v>
      </c>
      <c r="D30" s="28">
        <f>+AA30</f>
        <v>314.13124999999997</v>
      </c>
      <c r="E30" s="28">
        <f t="shared" si="0"/>
        <v>45.07</v>
      </c>
      <c r="F30" s="28">
        <f t="shared" si="1"/>
        <v>28.586874999999964</v>
      </c>
      <c r="G30" s="29">
        <f>ROUND(+F30/C30,4)</f>
        <v>0.11890000000000001</v>
      </c>
      <c r="H30" s="28">
        <f>ROUND($A30*$V$10,2)</f>
        <v>224.72</v>
      </c>
      <c r="I30" s="28">
        <f>ROUND($A30*$V$11,2)</f>
        <v>0.73</v>
      </c>
      <c r="J30" s="28">
        <f>ROUND($V$12*A30,2)</f>
        <v>21.19</v>
      </c>
      <c r="K30" s="28">
        <f t="shared" si="2"/>
        <v>532.18437500000005</v>
      </c>
      <c r="L30" s="28">
        <f>+D30+H30+I30+J30</f>
        <v>560.77125000000001</v>
      </c>
      <c r="M30" s="29">
        <f>ROUND((L30-K30)/K30,4)</f>
        <v>5.3699999999999998E-2</v>
      </c>
      <c r="N30" s="28">
        <f t="shared" si="3"/>
        <v>-3.71</v>
      </c>
      <c r="O30" s="28">
        <f t="shared" si="4"/>
        <v>557.06124999999997</v>
      </c>
      <c r="P30" s="29">
        <f t="shared" si="5"/>
        <v>4.6699999999999998E-2</v>
      </c>
      <c r="U30" s="30">
        <f>+$U$20</f>
        <v>19.784375000000001</v>
      </c>
      <c r="V30" s="30">
        <f>ROUND($V$18*$A30,2)</f>
        <v>220.69</v>
      </c>
      <c r="W30" s="30">
        <f>SUM(U30:V30)</f>
        <v>240.47437500000001</v>
      </c>
      <c r="Y30" s="30">
        <f>+$Y$20</f>
        <v>23.741249999999997</v>
      </c>
      <c r="Z30" s="30">
        <f>ROUND($Z$18*$A30,2)</f>
        <v>290.39</v>
      </c>
      <c r="AA30" s="30">
        <f>SUM(Y30:Z30)</f>
        <v>314.13124999999997</v>
      </c>
      <c r="AB30" s="30">
        <f t="shared" si="6"/>
        <v>45.07</v>
      </c>
      <c r="AC30" s="30">
        <f t="shared" si="7"/>
        <v>-3.71</v>
      </c>
      <c r="AE30" s="63"/>
    </row>
    <row r="31" spans="1:34" x14ac:dyDescent="0.25">
      <c r="A31" s="44"/>
      <c r="C31" s="27"/>
      <c r="D31" s="27"/>
      <c r="E31" s="27"/>
      <c r="F31" s="28"/>
      <c r="K31" s="28"/>
      <c r="L31" s="27"/>
      <c r="M31" s="27"/>
      <c r="N31" s="27"/>
      <c r="O31" s="27"/>
      <c r="P31" s="27"/>
      <c r="AB31" s="30"/>
      <c r="AC31" s="30"/>
    </row>
    <row r="32" spans="1:34" x14ac:dyDescent="0.25">
      <c r="A32" s="44">
        <v>80</v>
      </c>
      <c r="C32" s="28">
        <f>+W32</f>
        <v>314.044375</v>
      </c>
      <c r="D32" s="28">
        <f>+AA32</f>
        <v>410.92124999999999</v>
      </c>
      <c r="E32" s="28">
        <f t="shared" si="0"/>
        <v>60.09</v>
      </c>
      <c r="F32" s="28">
        <f t="shared" si="1"/>
        <v>36.786875000000009</v>
      </c>
      <c r="G32" s="29">
        <f>ROUND(+F32/C32,4)</f>
        <v>0.1171</v>
      </c>
      <c r="H32" s="28">
        <f>ROUND($A32*$V$10,2)</f>
        <v>299.63</v>
      </c>
      <c r="I32" s="28">
        <f>ROUND($A32*$V$11,2)</f>
        <v>0.97</v>
      </c>
      <c r="J32" s="28">
        <f>ROUND($V$12*A32,2)</f>
        <v>28.25</v>
      </c>
      <c r="K32" s="28">
        <f t="shared" si="2"/>
        <v>702.984375</v>
      </c>
      <c r="L32" s="28">
        <f>+D32+H32+I32+J32</f>
        <v>739.77125000000001</v>
      </c>
      <c r="M32" s="29">
        <f>ROUND((L32-K32)/K32,4)</f>
        <v>5.2299999999999999E-2</v>
      </c>
      <c r="N32" s="28">
        <f t="shared" si="3"/>
        <v>-4.95</v>
      </c>
      <c r="O32" s="28">
        <f t="shared" si="4"/>
        <v>734.82124999999996</v>
      </c>
      <c r="P32" s="29">
        <f t="shared" si="5"/>
        <v>4.53E-2</v>
      </c>
      <c r="U32" s="30">
        <f>+$U$20</f>
        <v>19.784375000000001</v>
      </c>
      <c r="V32" s="30">
        <f>ROUND($V$18*$A32,2)</f>
        <v>294.26</v>
      </c>
      <c r="W32" s="30">
        <f>SUM(U32:V32)</f>
        <v>314.044375</v>
      </c>
      <c r="Y32" s="30">
        <f>+$Y$20</f>
        <v>23.741249999999997</v>
      </c>
      <c r="Z32" s="30">
        <f>ROUND($Z$18*$A32,2)</f>
        <v>387.18</v>
      </c>
      <c r="AA32" s="30">
        <f>SUM(Y32:Z32)</f>
        <v>410.92124999999999</v>
      </c>
      <c r="AB32" s="30">
        <f t="shared" si="6"/>
        <v>60.09</v>
      </c>
      <c r="AC32" s="30">
        <f t="shared" si="7"/>
        <v>-4.95</v>
      </c>
      <c r="AE32" s="63"/>
    </row>
    <row r="33" spans="1:31" x14ac:dyDescent="0.25">
      <c r="A33" s="44"/>
      <c r="C33" s="27"/>
      <c r="D33" s="27"/>
      <c r="E33" s="27"/>
      <c r="F33" s="28"/>
      <c r="K33" s="28"/>
      <c r="L33" s="27"/>
      <c r="M33" s="27"/>
      <c r="N33" s="27"/>
      <c r="O33" s="27"/>
      <c r="P33" s="27"/>
      <c r="AB33" s="30"/>
      <c r="AC33" s="30"/>
    </row>
    <row r="34" spans="1:31" x14ac:dyDescent="0.25">
      <c r="A34" s="44">
        <v>100</v>
      </c>
      <c r="C34" s="28">
        <f>+W34</f>
        <v>387.604375</v>
      </c>
      <c r="D34" s="28">
        <f>+AA34</f>
        <v>507.72125</v>
      </c>
      <c r="E34" s="28">
        <f t="shared" si="0"/>
        <v>75.11</v>
      </c>
      <c r="F34" s="28">
        <f t="shared" si="1"/>
        <v>45.00687499999998</v>
      </c>
      <c r="G34" s="29">
        <f>ROUND(+F34/C34,4)</f>
        <v>0.11609999999999999</v>
      </c>
      <c r="H34" s="28">
        <f>ROUND($A34*$V$10,2)</f>
        <v>374.54</v>
      </c>
      <c r="I34" s="28">
        <f>ROUND($A34*$V$11,2)</f>
        <v>1.21</v>
      </c>
      <c r="J34" s="28">
        <f>ROUND($V$12*A34,2)</f>
        <v>35.31</v>
      </c>
      <c r="K34" s="28">
        <f>+C34+E34+H34+I34+J34</f>
        <v>873.77437499999996</v>
      </c>
      <c r="L34" s="28">
        <f>+D34+H34+I34+J34</f>
        <v>918.78125</v>
      </c>
      <c r="M34" s="29">
        <f>ROUND((L34-K34)/K34,4)</f>
        <v>5.1499999999999997E-2</v>
      </c>
      <c r="N34" s="28">
        <f t="shared" si="3"/>
        <v>-6.19</v>
      </c>
      <c r="O34" s="28">
        <f t="shared" si="4"/>
        <v>912.59124999999995</v>
      </c>
      <c r="P34" s="29">
        <f t="shared" si="5"/>
        <v>4.4400000000000002E-2</v>
      </c>
      <c r="U34" s="30">
        <f>+$U$20</f>
        <v>19.784375000000001</v>
      </c>
      <c r="V34" s="30">
        <f>ROUND($V$18*$A34,2)</f>
        <v>367.82</v>
      </c>
      <c r="W34" s="30">
        <f>SUM(U34:V34)</f>
        <v>387.604375</v>
      </c>
      <c r="Y34" s="30">
        <f>+$Y$20</f>
        <v>23.741249999999997</v>
      </c>
      <c r="Z34" s="30">
        <f>ROUND($Z$18*$A34,2)</f>
        <v>483.98</v>
      </c>
      <c r="AA34" s="30">
        <f>SUM(Y34:Z34)</f>
        <v>507.72125</v>
      </c>
      <c r="AB34" s="30">
        <f t="shared" si="6"/>
        <v>75.11</v>
      </c>
      <c r="AC34" s="30">
        <f t="shared" si="7"/>
        <v>-6.19</v>
      </c>
      <c r="AE34" s="63"/>
    </row>
    <row r="35" spans="1:31" x14ac:dyDescent="0.25">
      <c r="L35" s="27"/>
      <c r="M35" s="27"/>
      <c r="N35" s="27"/>
      <c r="O35" s="27"/>
      <c r="P35" s="27"/>
    </row>
    <row r="36" spans="1:31" x14ac:dyDescent="0.25">
      <c r="A36" s="26" t="s">
        <v>85</v>
      </c>
      <c r="C36" s="43"/>
      <c r="D36" s="44"/>
      <c r="E36" s="44"/>
      <c r="F36" s="44"/>
      <c r="L36" s="28"/>
      <c r="M36" s="28"/>
      <c r="N36" s="28"/>
      <c r="O36" s="28"/>
      <c r="P36" s="28"/>
    </row>
    <row r="37" spans="1:31" x14ac:dyDescent="0.25">
      <c r="A37" s="46" t="str">
        <f>("Forecast Period Average Usage = "&amp;ROUND(INPUT!C17,1)&amp;" Mcf per month")</f>
        <v>Forecast Period Average Usage = 5.4 Mcf per month</v>
      </c>
    </row>
    <row r="38" spans="1:31" x14ac:dyDescent="0.25">
      <c r="A38" s="47" t="s">
        <v>122</v>
      </c>
    </row>
    <row r="39" spans="1:31" x14ac:dyDescent="0.25">
      <c r="A39" s="60" t="str">
        <f>+'Rate Case Constants'!$C$26</f>
        <v>Calculations may vary from other schedules due to rounding</v>
      </c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41"/>
  <sheetViews>
    <sheetView zoomScale="70" zoomScaleNormal="70" zoomScaleSheetLayoutView="80" workbookViewId="0">
      <selection sqref="A1:P1"/>
    </sheetView>
  </sheetViews>
  <sheetFormatPr defaultColWidth="9.1796875" defaultRowHeight="12.5" x14ac:dyDescent="0.25"/>
  <cols>
    <col min="1" max="1" width="9.26953125" style="26" bestFit="1" customWidth="1"/>
    <col min="2" max="2" width="2" style="26" customWidth="1"/>
    <col min="3" max="8" width="12" style="26" customWidth="1"/>
    <col min="9" max="9" width="11.26953125" style="26" bestFit="1" customWidth="1"/>
    <col min="10" max="10" width="12" style="26" customWidth="1"/>
    <col min="11" max="11" width="12.7265625" style="26" bestFit="1" customWidth="1"/>
    <col min="12" max="12" width="12" style="26" customWidth="1"/>
    <col min="13" max="15" width="12.81640625" style="26" customWidth="1"/>
    <col min="16" max="16" width="12" style="26" customWidth="1"/>
    <col min="17" max="20" width="3.7265625" style="26" customWidth="1"/>
    <col min="21" max="21" width="9.7265625" style="26" bestFit="1" customWidth="1"/>
    <col min="22" max="22" width="13.26953125" style="26" bestFit="1" customWidth="1"/>
    <col min="23" max="23" width="11.54296875" style="26" bestFit="1" customWidth="1"/>
    <col min="24" max="24" width="10.7265625" style="26" bestFit="1" customWidth="1"/>
    <col min="25" max="25" width="11.453125" style="26" bestFit="1" customWidth="1"/>
    <col min="26" max="26" width="11.81640625" style="26" bestFit="1" customWidth="1"/>
    <col min="27" max="27" width="11.54296875" style="26" bestFit="1" customWidth="1"/>
    <col min="28" max="28" width="15.54296875" style="26" bestFit="1" customWidth="1"/>
    <col min="29" max="29" width="15.1796875" style="26" bestFit="1" customWidth="1"/>
    <col min="30" max="30" width="10.7265625" style="26" bestFit="1" customWidth="1"/>
    <col min="31" max="16384" width="9.1796875" style="26"/>
  </cols>
  <sheetData>
    <row r="1" spans="1:30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30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30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30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30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30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30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N7" s="74"/>
      <c r="O7" s="74"/>
      <c r="P7" s="74" t="str">
        <f>+'Rate Case Constants'!C25</f>
        <v>SCHEDULE N (Gas)</v>
      </c>
    </row>
    <row r="8" spans="1:30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5"/>
      <c r="O8" s="75"/>
      <c r="P8" s="75" t="str">
        <f>+'Rate Case Constants'!I9</f>
        <v>PAGE 2 OF 13</v>
      </c>
    </row>
    <row r="9" spans="1:30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4"/>
      <c r="O9" s="74"/>
      <c r="P9" s="74" t="str">
        <f>+'Rate Case Constants'!C36</f>
        <v>WITNESS:   R. M. CONROY</v>
      </c>
      <c r="V9" s="26" t="s">
        <v>167</v>
      </c>
    </row>
    <row r="10" spans="1:30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4"/>
      <c r="O10" s="84"/>
      <c r="P10" s="84"/>
      <c r="Q10" s="69"/>
      <c r="R10" s="69"/>
      <c r="S10" s="69"/>
      <c r="T10" s="69"/>
      <c r="U10" s="108" t="s">
        <v>26</v>
      </c>
      <c r="V10" s="54">
        <f>+INPUT!I44</f>
        <v>3.7220656368926077</v>
      </c>
      <c r="W10" s="27"/>
      <c r="X10" s="27"/>
      <c r="Y10" s="27"/>
      <c r="Z10" s="27"/>
      <c r="AA10" s="27"/>
      <c r="AB10" s="27"/>
      <c r="AC10" s="27"/>
      <c r="AD10" s="27"/>
    </row>
    <row r="11" spans="1:30" ht="13" x14ac:dyDescent="0.3">
      <c r="A11" s="80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9"/>
      <c r="R11" s="69"/>
      <c r="S11" s="69"/>
      <c r="T11" s="69"/>
      <c r="U11" s="108" t="s">
        <v>23</v>
      </c>
      <c r="V11" s="54">
        <f>+INPUT!J44</f>
        <v>1.2814479373026877E-2</v>
      </c>
      <c r="W11" s="12"/>
      <c r="X11" s="12"/>
      <c r="Y11" s="18"/>
      <c r="Z11" s="12"/>
      <c r="AA11" s="12"/>
      <c r="AB11" s="12"/>
      <c r="AC11" s="12"/>
      <c r="AD11" s="27"/>
    </row>
    <row r="12" spans="1:30" ht="13" x14ac:dyDescent="0.3">
      <c r="A12" s="12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72" t="s">
        <v>27</v>
      </c>
      <c r="V12" s="54">
        <f>INPUT!O44</f>
        <v>0.27481237601145259</v>
      </c>
      <c r="W12" s="12"/>
      <c r="X12" s="12"/>
      <c r="Y12" s="12"/>
      <c r="Z12" s="12"/>
      <c r="AA12" s="12"/>
      <c r="AB12" s="12"/>
      <c r="AC12" s="12"/>
      <c r="AD12" s="27"/>
    </row>
    <row r="13" spans="1:30" ht="13" x14ac:dyDescent="0.3">
      <c r="A13" s="12"/>
      <c r="B13" s="12"/>
      <c r="C13" s="13" t="s">
        <v>68</v>
      </c>
      <c r="D13" s="14" t="s">
        <v>76</v>
      </c>
      <c r="E13" s="14" t="s">
        <v>69</v>
      </c>
      <c r="F13" s="14" t="s">
        <v>70</v>
      </c>
      <c r="G13" s="13" t="s">
        <v>71</v>
      </c>
      <c r="H13" s="13" t="s">
        <v>72</v>
      </c>
      <c r="I13" s="13" t="s">
        <v>77</v>
      </c>
      <c r="J13" s="14" t="s">
        <v>73</v>
      </c>
      <c r="K13" s="13" t="s">
        <v>74</v>
      </c>
      <c r="L13" s="13" t="s">
        <v>75</v>
      </c>
      <c r="M13" s="13" t="s">
        <v>139</v>
      </c>
      <c r="N13" s="13" t="s">
        <v>140</v>
      </c>
      <c r="O13" s="13" t="s">
        <v>141</v>
      </c>
      <c r="P13" s="13" t="s">
        <v>142</v>
      </c>
      <c r="U13" s="12"/>
      <c r="V13" s="12"/>
      <c r="W13" s="12"/>
      <c r="X13" s="12"/>
      <c r="AD13" s="27"/>
    </row>
    <row r="14" spans="1:30" ht="13" x14ac:dyDescent="0.3">
      <c r="A14" s="27"/>
      <c r="B14" s="27"/>
      <c r="C14" s="62" t="s">
        <v>92</v>
      </c>
      <c r="D14" s="62" t="s">
        <v>92</v>
      </c>
      <c r="E14" s="62" t="s">
        <v>27</v>
      </c>
      <c r="F14" s="27"/>
      <c r="G14" s="27"/>
      <c r="H14" s="27"/>
      <c r="I14" s="27"/>
      <c r="J14" s="27"/>
      <c r="K14" s="13" t="s">
        <v>18</v>
      </c>
      <c r="L14" s="13" t="s">
        <v>18</v>
      </c>
      <c r="M14" s="27"/>
      <c r="N14" s="13" t="s">
        <v>175</v>
      </c>
      <c r="O14" s="13" t="s">
        <v>18</v>
      </c>
      <c r="P14" s="13"/>
      <c r="U14" s="19" t="s">
        <v>0</v>
      </c>
      <c r="V14" s="19"/>
      <c r="W14" s="19"/>
      <c r="X14" s="27"/>
      <c r="Y14" s="19" t="s">
        <v>17</v>
      </c>
      <c r="Z14" s="19"/>
      <c r="AA14" s="19"/>
      <c r="AB14" s="137" t="s">
        <v>168</v>
      </c>
      <c r="AC14" s="19"/>
      <c r="AD14" s="27"/>
    </row>
    <row r="15" spans="1:30" ht="13" x14ac:dyDescent="0.3">
      <c r="A15" s="27"/>
      <c r="B15" s="27"/>
      <c r="C15" s="13" t="s">
        <v>13</v>
      </c>
      <c r="D15" s="13" t="s">
        <v>19</v>
      </c>
      <c r="E15" s="13" t="s">
        <v>152</v>
      </c>
      <c r="F15" s="13"/>
      <c r="G15" s="13"/>
      <c r="H15" s="148" t="s">
        <v>20</v>
      </c>
      <c r="I15" s="148"/>
      <c r="J15" s="149"/>
      <c r="K15" s="13" t="s">
        <v>13</v>
      </c>
      <c r="L15" s="13" t="s">
        <v>19</v>
      </c>
      <c r="M15" s="13"/>
      <c r="N15" s="13" t="s">
        <v>176</v>
      </c>
      <c r="O15" s="13" t="s">
        <v>19</v>
      </c>
      <c r="P15" s="13"/>
      <c r="U15" s="14" t="s">
        <v>29</v>
      </c>
      <c r="V15" s="13"/>
      <c r="W15" s="14"/>
      <c r="X15" s="27"/>
      <c r="Y15" s="14" t="s">
        <v>29</v>
      </c>
      <c r="Z15" s="13"/>
      <c r="AA15" s="14"/>
      <c r="AB15" s="14" t="s">
        <v>154</v>
      </c>
      <c r="AC15" s="14" t="s">
        <v>143</v>
      </c>
      <c r="AD15" s="27"/>
    </row>
    <row r="16" spans="1:30" ht="13" x14ac:dyDescent="0.3">
      <c r="A16" s="13"/>
      <c r="B16" s="13"/>
      <c r="C16" s="13" t="s">
        <v>21</v>
      </c>
      <c r="D16" s="13" t="s">
        <v>21</v>
      </c>
      <c r="E16" s="13" t="s">
        <v>153</v>
      </c>
      <c r="F16" s="13" t="s">
        <v>22</v>
      </c>
      <c r="G16" s="13" t="s">
        <v>22</v>
      </c>
      <c r="H16" s="13" t="s">
        <v>26</v>
      </c>
      <c r="I16" s="13" t="s">
        <v>23</v>
      </c>
      <c r="J16" s="13" t="s">
        <v>27</v>
      </c>
      <c r="K16" s="13" t="s">
        <v>21</v>
      </c>
      <c r="L16" s="13" t="s">
        <v>21</v>
      </c>
      <c r="M16" s="13" t="s">
        <v>22</v>
      </c>
      <c r="N16" s="13" t="s">
        <v>143</v>
      </c>
      <c r="O16" s="13" t="s">
        <v>144</v>
      </c>
      <c r="P16" s="13" t="s">
        <v>22</v>
      </c>
      <c r="U16" s="14" t="s">
        <v>30</v>
      </c>
      <c r="V16" s="13" t="s">
        <v>95</v>
      </c>
      <c r="W16" s="14" t="s">
        <v>18</v>
      </c>
      <c r="X16" s="27"/>
      <c r="Y16" s="14" t="s">
        <v>30</v>
      </c>
      <c r="Z16" s="13" t="s">
        <v>95</v>
      </c>
      <c r="AA16" s="14" t="s">
        <v>18</v>
      </c>
      <c r="AB16" s="14">
        <f>INPUT!O50</f>
        <v>0.58453588979318905</v>
      </c>
      <c r="AC16" s="14">
        <f>INPUT!D34</f>
        <v>-6.1899999999999997E-2</v>
      </c>
      <c r="AD16" s="27"/>
    </row>
    <row r="17" spans="1:30" ht="13" x14ac:dyDescent="0.3">
      <c r="A17" s="13" t="s">
        <v>123</v>
      </c>
      <c r="B17" s="76"/>
      <c r="C17" s="76"/>
      <c r="D17" s="76"/>
      <c r="E17" s="76"/>
      <c r="F17" s="76" t="s">
        <v>24</v>
      </c>
      <c r="G17" s="77" t="s">
        <v>25</v>
      </c>
      <c r="H17" s="78"/>
      <c r="I17" s="78"/>
      <c r="J17" s="79"/>
      <c r="K17" s="76" t="s">
        <v>24</v>
      </c>
      <c r="L17" s="76" t="s">
        <v>24</v>
      </c>
      <c r="M17" s="77" t="s">
        <v>25</v>
      </c>
      <c r="N17" s="77"/>
      <c r="O17" s="77" t="s">
        <v>143</v>
      </c>
      <c r="P17" s="77" t="s">
        <v>25</v>
      </c>
      <c r="U17" s="32" t="s">
        <v>31</v>
      </c>
      <c r="V17" s="33" t="s">
        <v>31</v>
      </c>
      <c r="W17" s="32" t="s">
        <v>21</v>
      </c>
      <c r="X17" s="27"/>
      <c r="Y17" s="32" t="s">
        <v>31</v>
      </c>
      <c r="Z17" s="33" t="s">
        <v>31</v>
      </c>
      <c r="AA17" s="32" t="s">
        <v>21</v>
      </c>
      <c r="AB17" s="114" t="s">
        <v>147</v>
      </c>
      <c r="AC17" s="114" t="s">
        <v>147</v>
      </c>
      <c r="AD17" s="27"/>
    </row>
    <row r="18" spans="1:30" ht="13" x14ac:dyDescent="0.3">
      <c r="A18" s="71"/>
      <c r="B18" s="71"/>
      <c r="C18" s="71"/>
      <c r="D18" s="71"/>
      <c r="E18" s="115"/>
      <c r="F18" s="116" t="str">
        <f>("[ "&amp;D13&amp;" - ("&amp;E13&amp;" + "&amp;C13&amp;") ]")</f>
        <v>[ B - (C + A) ]</v>
      </c>
      <c r="G18" s="116" t="str">
        <f>("[ "&amp;F13&amp;" / "&amp;C13&amp;" ]")</f>
        <v>[ D / A ]</v>
      </c>
      <c r="H18" s="117"/>
      <c r="I18" s="117"/>
      <c r="J18" s="117"/>
      <c r="K18" s="116" t="str">
        <f>("["&amp;C13&amp;"+"&amp;E13&amp;"+"&amp;$H$13&amp;"+"&amp;$I$13&amp;"+"&amp;$J$13&amp;"]")</f>
        <v>[A+C+F+G+H]</v>
      </c>
      <c r="L18" s="116" t="str">
        <f>("["&amp;D13&amp;"+"&amp;H13&amp;"+"&amp;I13&amp;"+"&amp;J13&amp;"]")</f>
        <v>[B+F+G+H]</v>
      </c>
      <c r="M18" s="115" t="str">
        <f>("[("&amp;L13&amp;" - "&amp;K13&amp;") / "&amp;K13&amp;"]")</f>
        <v>[(J - I) / I]</v>
      </c>
      <c r="N18" s="115"/>
      <c r="O18" s="115" t="s">
        <v>145</v>
      </c>
      <c r="P18" s="115" t="s">
        <v>146</v>
      </c>
      <c r="U18" s="14"/>
      <c r="V18" s="20">
        <f>+INPUT!$D$9</f>
        <v>3.0670000000000002</v>
      </c>
      <c r="W18" s="14"/>
      <c r="X18" s="27"/>
      <c r="Y18" s="14"/>
      <c r="Z18" s="20">
        <f>+INPUT!$D$27</f>
        <v>3.7688000000000001</v>
      </c>
      <c r="AA18" s="14"/>
      <c r="AB18" s="14"/>
      <c r="AC18" s="14"/>
      <c r="AD18" s="27"/>
    </row>
    <row r="19" spans="1:30" ht="13" x14ac:dyDescent="0.3">
      <c r="A19" s="13"/>
      <c r="B19" s="13"/>
      <c r="C19" s="13"/>
      <c r="D19" s="13"/>
      <c r="E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U19" s="14"/>
      <c r="V19" s="14" t="s">
        <v>94</v>
      </c>
      <c r="W19" s="14"/>
      <c r="X19" s="27"/>
      <c r="Y19" s="14"/>
      <c r="Z19" s="14" t="s">
        <v>94</v>
      </c>
      <c r="AA19" s="14"/>
      <c r="AB19" s="14"/>
      <c r="AC19" s="14"/>
      <c r="AD19" s="27"/>
    </row>
    <row r="20" spans="1:30" x14ac:dyDescent="0.25">
      <c r="A20" s="44">
        <v>25</v>
      </c>
      <c r="C20" s="28">
        <f>+W20</f>
        <v>136.641875</v>
      </c>
      <c r="D20" s="28">
        <f>+AA20</f>
        <v>164.22624999999999</v>
      </c>
      <c r="E20" s="28">
        <f>AB20</f>
        <v>14.61</v>
      </c>
      <c r="F20" s="28">
        <f>+D20-(E20+C20)</f>
        <v>12.974375000000009</v>
      </c>
      <c r="G20" s="29">
        <f>ROUND(+F20/C20,4)</f>
        <v>9.5000000000000001E-2</v>
      </c>
      <c r="H20" s="28">
        <f>ROUND($A20*$V$10,2)</f>
        <v>93.05</v>
      </c>
      <c r="I20" s="28">
        <f>ROUND($A20*$V$11,2)</f>
        <v>0.32</v>
      </c>
      <c r="J20" s="28">
        <f>ROUND($V$12*A20,2)</f>
        <v>6.87</v>
      </c>
      <c r="K20" s="28">
        <f>+C20+E20+H20+I20+J20</f>
        <v>251.49187499999999</v>
      </c>
      <c r="L20" s="28">
        <f>+D20+H20+I20+J20</f>
        <v>264.46625</v>
      </c>
      <c r="M20" s="29">
        <f>ROUND((L20-K20)/K20,4)</f>
        <v>5.16E-2</v>
      </c>
      <c r="N20" s="28">
        <f>AC20</f>
        <v>-1.55</v>
      </c>
      <c r="O20" s="28">
        <f>L20+N20</f>
        <v>262.91624999999999</v>
      </c>
      <c r="P20" s="29">
        <f>ROUND((O20-K20)/K20,4)</f>
        <v>4.5400000000000003E-2</v>
      </c>
      <c r="U20" s="30">
        <f>+INPUT!$D$6</f>
        <v>59.961874999999999</v>
      </c>
      <c r="V20" s="30">
        <f>ROUND($V$18*$A20,2)</f>
        <v>76.680000000000007</v>
      </c>
      <c r="W20" s="30">
        <f>SUM(U20:V20)</f>
        <v>136.641875</v>
      </c>
      <c r="Y20" s="30">
        <f>+INPUT!$D$23</f>
        <v>70.006249999999994</v>
      </c>
      <c r="Z20" s="30">
        <f>ROUND($Z$18*$A20,2)</f>
        <v>94.22</v>
      </c>
      <c r="AA20" s="30">
        <f>SUM(Y20:Z20)</f>
        <v>164.22624999999999</v>
      </c>
      <c r="AB20" s="30">
        <f>ROUND($AB$16*A20,2)</f>
        <v>14.61</v>
      </c>
      <c r="AC20" s="30">
        <f>ROUND($AC$16*A20,2)</f>
        <v>-1.55</v>
      </c>
      <c r="AD20" s="63"/>
    </row>
    <row r="21" spans="1:30" x14ac:dyDescent="0.25">
      <c r="A21" s="44"/>
      <c r="C21" s="27"/>
      <c r="D21" s="27"/>
      <c r="F21" s="28"/>
      <c r="K21" s="28"/>
      <c r="L21" s="27"/>
      <c r="M21" s="27"/>
      <c r="N21" s="27"/>
      <c r="O21" s="27"/>
      <c r="P21" s="27"/>
      <c r="AB21" s="30"/>
      <c r="AC21" s="30"/>
    </row>
    <row r="22" spans="1:30" x14ac:dyDescent="0.25">
      <c r="A22" s="44">
        <v>50</v>
      </c>
      <c r="C22" s="28">
        <f>+W22</f>
        <v>213.31187499999999</v>
      </c>
      <c r="D22" s="28">
        <f>+AA22</f>
        <v>258.44624999999996</v>
      </c>
      <c r="E22" s="28">
        <f t="shared" ref="E22:E34" si="0">AB22</f>
        <v>29.23</v>
      </c>
      <c r="F22" s="28">
        <f t="shared" ref="F22:F32" si="1">+D22-(E22+C22)</f>
        <v>15.904374999999987</v>
      </c>
      <c r="G22" s="64">
        <f>ROUND(+F22/C22,4)</f>
        <v>7.46E-2</v>
      </c>
      <c r="H22" s="31">
        <f>ROUND($A22*$V$10,2)</f>
        <v>186.1</v>
      </c>
      <c r="I22" s="31">
        <f>ROUND($A22*$V$11,2)</f>
        <v>0.64</v>
      </c>
      <c r="J22" s="28">
        <f>ROUND($V$12*A22,2)</f>
        <v>13.74</v>
      </c>
      <c r="K22" s="28">
        <f t="shared" ref="K22:K32" si="2">+C22+E22+H22+I22+J22</f>
        <v>443.02187499999997</v>
      </c>
      <c r="L22" s="31">
        <f>+D22+H22+I22+J22</f>
        <v>458.92624999999998</v>
      </c>
      <c r="M22" s="64">
        <f>ROUND((L22-K22)/K22,4)</f>
        <v>3.5900000000000001E-2</v>
      </c>
      <c r="N22" s="28">
        <f t="shared" ref="N22:N34" si="3">AC22</f>
        <v>-3.1</v>
      </c>
      <c r="O22" s="28">
        <f t="shared" ref="O22:O34" si="4">L22+N22</f>
        <v>455.82624999999996</v>
      </c>
      <c r="P22" s="64">
        <f t="shared" ref="P22:P34" si="5">ROUND((O22-K22)/K22,4)</f>
        <v>2.8899999999999999E-2</v>
      </c>
      <c r="U22" s="30">
        <f>+$U$20</f>
        <v>59.961874999999999</v>
      </c>
      <c r="V22" s="30">
        <f>ROUND($V$18*$A22,2)</f>
        <v>153.35</v>
      </c>
      <c r="W22" s="30">
        <f>SUM(U22:V22)</f>
        <v>213.31187499999999</v>
      </c>
      <c r="Y22" s="30">
        <f>+$Y$20</f>
        <v>70.006249999999994</v>
      </c>
      <c r="Z22" s="30">
        <f>ROUND($Z$18*$A22,2)</f>
        <v>188.44</v>
      </c>
      <c r="AA22" s="30">
        <f>SUM(Y22:Z22)</f>
        <v>258.44624999999996</v>
      </c>
      <c r="AB22" s="30">
        <f t="shared" ref="AB22:AB34" si="6">ROUND($AB$16*A22,2)</f>
        <v>29.23</v>
      </c>
      <c r="AC22" s="30">
        <f t="shared" ref="AC22:AC34" si="7">ROUND($AC$16*A22,2)</f>
        <v>-3.1</v>
      </c>
      <c r="AD22" s="63"/>
    </row>
    <row r="23" spans="1:30" x14ac:dyDescent="0.25">
      <c r="A23" s="44"/>
      <c r="C23" s="28"/>
      <c r="D23" s="28"/>
      <c r="F23" s="28"/>
      <c r="K23" s="28"/>
      <c r="L23" s="28"/>
      <c r="M23" s="29"/>
      <c r="N23" s="28"/>
      <c r="O23" s="28"/>
      <c r="P23" s="29"/>
      <c r="AB23" s="30"/>
      <c r="AC23" s="30"/>
    </row>
    <row r="24" spans="1:30" x14ac:dyDescent="0.25">
      <c r="A24" s="44">
        <v>100</v>
      </c>
      <c r="C24" s="28">
        <f>+W24</f>
        <v>366.66187500000001</v>
      </c>
      <c r="D24" s="28">
        <f>+AA24</f>
        <v>446.88625000000002</v>
      </c>
      <c r="E24" s="28">
        <f t="shared" si="0"/>
        <v>58.45</v>
      </c>
      <c r="F24" s="28">
        <f t="shared" si="1"/>
        <v>21.77437500000002</v>
      </c>
      <c r="G24" s="29">
        <f>ROUND(+F24/C24,4)</f>
        <v>5.9400000000000001E-2</v>
      </c>
      <c r="H24" s="28">
        <f>ROUND($A24*$V$10,2)</f>
        <v>372.21</v>
      </c>
      <c r="I24" s="28">
        <f>ROUND($A24*$V$11,2)</f>
        <v>1.28</v>
      </c>
      <c r="J24" s="28">
        <f>ROUND($V$12*A24,2)</f>
        <v>27.48</v>
      </c>
      <c r="K24" s="28">
        <f t="shared" si="2"/>
        <v>826.08187499999997</v>
      </c>
      <c r="L24" s="28">
        <f>+D24+H24+I24+J24</f>
        <v>847.85625000000005</v>
      </c>
      <c r="M24" s="29">
        <f>ROUND((L24-K24)/K24,4)</f>
        <v>2.64E-2</v>
      </c>
      <c r="N24" s="28">
        <f t="shared" si="3"/>
        <v>-6.19</v>
      </c>
      <c r="O24" s="28">
        <f t="shared" si="4"/>
        <v>841.66624999999999</v>
      </c>
      <c r="P24" s="29">
        <f t="shared" si="5"/>
        <v>1.89E-2</v>
      </c>
      <c r="U24" s="30">
        <f>+$U$20</f>
        <v>59.961874999999999</v>
      </c>
      <c r="V24" s="30">
        <f>ROUND($V$18*$A24,2)</f>
        <v>306.7</v>
      </c>
      <c r="W24" s="30">
        <f>SUM(U24:V24)</f>
        <v>366.66187500000001</v>
      </c>
      <c r="Y24" s="30">
        <f>+$Y$20</f>
        <v>70.006249999999994</v>
      </c>
      <c r="Z24" s="30">
        <f>ROUND($Z$18*$A24,2)</f>
        <v>376.88</v>
      </c>
      <c r="AA24" s="30">
        <f>SUM(Y24:Z24)</f>
        <v>446.88625000000002</v>
      </c>
      <c r="AB24" s="30">
        <f t="shared" si="6"/>
        <v>58.45</v>
      </c>
      <c r="AC24" s="30">
        <f t="shared" si="7"/>
        <v>-6.19</v>
      </c>
    </row>
    <row r="25" spans="1:30" x14ac:dyDescent="0.25">
      <c r="A25" s="44"/>
      <c r="C25" s="27"/>
      <c r="D25" s="27"/>
      <c r="F25" s="28"/>
      <c r="K25" s="28"/>
      <c r="L25" s="27"/>
      <c r="M25" s="27"/>
      <c r="N25" s="27"/>
      <c r="O25" s="27"/>
      <c r="P25" s="27"/>
      <c r="AB25" s="30"/>
      <c r="AC25" s="30"/>
    </row>
    <row r="26" spans="1:30" x14ac:dyDescent="0.25">
      <c r="A26" s="44">
        <v>500</v>
      </c>
      <c r="C26" s="31">
        <f>+W26</f>
        <v>1593.461875</v>
      </c>
      <c r="D26" s="31">
        <f>+AA26</f>
        <v>1954.40625</v>
      </c>
      <c r="E26" s="28">
        <f t="shared" si="0"/>
        <v>292.27</v>
      </c>
      <c r="F26" s="28">
        <f t="shared" si="1"/>
        <v>68.674375000000055</v>
      </c>
      <c r="G26" s="29">
        <f>ROUND(+F26/C26,4)</f>
        <v>4.3099999999999999E-2</v>
      </c>
      <c r="H26" s="28">
        <f>ROUND($A26*$V$10,2)</f>
        <v>1861.03</v>
      </c>
      <c r="I26" s="28">
        <f>ROUND($A26*$V$11,2)</f>
        <v>6.41</v>
      </c>
      <c r="J26" s="28">
        <f>ROUND($V$12*A26,2)</f>
        <v>137.41</v>
      </c>
      <c r="K26" s="28">
        <f t="shared" si="2"/>
        <v>3890.5818749999999</v>
      </c>
      <c r="L26" s="28">
        <f>+D26+H26+I26+J26</f>
        <v>3959.2562499999995</v>
      </c>
      <c r="M26" s="29">
        <f>ROUND((L26-K26)/K26,4)</f>
        <v>1.77E-2</v>
      </c>
      <c r="N26" s="31">
        <f t="shared" si="3"/>
        <v>-30.95</v>
      </c>
      <c r="O26" s="31">
        <f t="shared" si="4"/>
        <v>3928.3062499999996</v>
      </c>
      <c r="P26" s="29">
        <f t="shared" si="5"/>
        <v>9.7000000000000003E-3</v>
      </c>
      <c r="U26" s="30">
        <f>+$U$20</f>
        <v>59.961874999999999</v>
      </c>
      <c r="V26" s="30">
        <f>ROUND($V$18*$A26,2)</f>
        <v>1533.5</v>
      </c>
      <c r="W26" s="30">
        <f>SUM(U26:V26)</f>
        <v>1593.461875</v>
      </c>
      <c r="Y26" s="30">
        <f>+$Y$20</f>
        <v>70.006249999999994</v>
      </c>
      <c r="Z26" s="30">
        <f>ROUND($Z$18*$A26,2)</f>
        <v>1884.4</v>
      </c>
      <c r="AA26" s="30">
        <f>SUM(Y26:Z26)</f>
        <v>1954.40625</v>
      </c>
      <c r="AB26" s="30">
        <f t="shared" si="6"/>
        <v>292.27</v>
      </c>
      <c r="AC26" s="30">
        <f t="shared" si="7"/>
        <v>-30.95</v>
      </c>
    </row>
    <row r="27" spans="1:30" x14ac:dyDescent="0.25">
      <c r="A27" s="44"/>
      <c r="C27" s="27"/>
      <c r="D27" s="27"/>
      <c r="F27" s="28"/>
      <c r="K27" s="28"/>
      <c r="L27" s="27"/>
      <c r="M27" s="27"/>
      <c r="N27" s="27"/>
      <c r="O27" s="27"/>
      <c r="P27" s="27"/>
      <c r="AB27" s="30"/>
      <c r="AC27" s="30"/>
    </row>
    <row r="28" spans="1:30" x14ac:dyDescent="0.25">
      <c r="A28" s="44">
        <v>1000</v>
      </c>
      <c r="C28" s="28">
        <f>+W28</f>
        <v>3126.961875</v>
      </c>
      <c r="D28" s="28">
        <f>+AA28</f>
        <v>3838.8062500000001</v>
      </c>
      <c r="E28" s="28">
        <f t="shared" si="0"/>
        <v>584.54</v>
      </c>
      <c r="F28" s="28">
        <f t="shared" si="1"/>
        <v>127.30437500000016</v>
      </c>
      <c r="G28" s="29">
        <f>ROUND(+F28/C28,4)</f>
        <v>4.07E-2</v>
      </c>
      <c r="H28" s="28">
        <f>ROUND($A28*$V$10,2)</f>
        <v>3722.07</v>
      </c>
      <c r="I28" s="28">
        <f>ROUND($A28*$V$11,2)</f>
        <v>12.81</v>
      </c>
      <c r="J28" s="28">
        <f>ROUND($V$12*A28,2)</f>
        <v>274.81</v>
      </c>
      <c r="K28" s="28">
        <f t="shared" si="2"/>
        <v>7721.1918750000004</v>
      </c>
      <c r="L28" s="28">
        <f>+D28+H28+I28+J28</f>
        <v>7848.4962500000011</v>
      </c>
      <c r="M28" s="29">
        <f>ROUND((L28-K28)/K28,4)</f>
        <v>1.6500000000000001E-2</v>
      </c>
      <c r="N28" s="28">
        <f t="shared" si="3"/>
        <v>-61.9</v>
      </c>
      <c r="O28" s="28">
        <f t="shared" si="4"/>
        <v>7786.5962500000014</v>
      </c>
      <c r="P28" s="29">
        <f t="shared" si="5"/>
        <v>8.5000000000000006E-3</v>
      </c>
      <c r="U28" s="30">
        <f>+$U$20</f>
        <v>59.961874999999999</v>
      </c>
      <c r="V28" s="30">
        <f>ROUND($V$18*$A28,2)</f>
        <v>3067</v>
      </c>
      <c r="W28" s="30">
        <f>SUM(U28:V28)</f>
        <v>3126.961875</v>
      </c>
      <c r="Y28" s="30">
        <f>+$Y$20</f>
        <v>70.006249999999994</v>
      </c>
      <c r="Z28" s="30">
        <f>ROUND($Z$18*$A28,2)</f>
        <v>3768.8</v>
      </c>
      <c r="AA28" s="30">
        <f>SUM(Y28:Z28)</f>
        <v>3838.8062500000001</v>
      </c>
      <c r="AB28" s="30">
        <f t="shared" si="6"/>
        <v>584.54</v>
      </c>
      <c r="AC28" s="30">
        <f t="shared" si="7"/>
        <v>-61.9</v>
      </c>
    </row>
    <row r="29" spans="1:30" x14ac:dyDescent="0.25">
      <c r="A29" s="44"/>
      <c r="C29" s="27"/>
      <c r="D29" s="27"/>
      <c r="F29" s="28"/>
      <c r="K29" s="28"/>
      <c r="L29" s="27"/>
      <c r="M29" s="27"/>
      <c r="N29" s="27"/>
      <c r="O29" s="27"/>
      <c r="P29" s="27"/>
      <c r="AB29" s="30"/>
      <c r="AC29" s="30"/>
    </row>
    <row r="30" spans="1:30" x14ac:dyDescent="0.25">
      <c r="A30" s="44">
        <v>2500</v>
      </c>
      <c r="C30" s="28">
        <f>+W30</f>
        <v>7727.461875</v>
      </c>
      <c r="D30" s="28">
        <f>+AA30</f>
        <v>9492.0062500000004</v>
      </c>
      <c r="E30" s="28">
        <f t="shared" si="0"/>
        <v>1461.34</v>
      </c>
      <c r="F30" s="28">
        <f t="shared" si="1"/>
        <v>303.20437500000116</v>
      </c>
      <c r="G30" s="29">
        <f>ROUND(+F30/C30,4)</f>
        <v>3.9199999999999999E-2</v>
      </c>
      <c r="H30" s="28">
        <f>ROUND($A30*$V$10,2)</f>
        <v>9305.16</v>
      </c>
      <c r="I30" s="28">
        <f>ROUND($A30*$V$11,2)</f>
        <v>32.04</v>
      </c>
      <c r="J30" s="28">
        <f>ROUND($V$12*A30,2)</f>
        <v>687.03</v>
      </c>
      <c r="K30" s="28">
        <f t="shared" si="2"/>
        <v>19213.031875000001</v>
      </c>
      <c r="L30" s="28">
        <f>+D30+H30+I30+J30</f>
        <v>19516.236250000002</v>
      </c>
      <c r="M30" s="29">
        <f>ROUND((L30-K30)/K30,4)</f>
        <v>1.5800000000000002E-2</v>
      </c>
      <c r="N30" s="28">
        <f t="shared" si="3"/>
        <v>-154.75</v>
      </c>
      <c r="O30" s="28">
        <f t="shared" si="4"/>
        <v>19361.486250000002</v>
      </c>
      <c r="P30" s="29">
        <f t="shared" si="5"/>
        <v>7.7000000000000002E-3</v>
      </c>
      <c r="U30" s="30">
        <f>+$U$20</f>
        <v>59.961874999999999</v>
      </c>
      <c r="V30" s="30">
        <f>ROUND($V$18*$A30,2)</f>
        <v>7667.5</v>
      </c>
      <c r="W30" s="30">
        <f>SUM(U30:V30)</f>
        <v>7727.461875</v>
      </c>
      <c r="Y30" s="30">
        <f>+$Y$20</f>
        <v>70.006249999999994</v>
      </c>
      <c r="Z30" s="30">
        <f>ROUND($Z$18*$A30,2)</f>
        <v>9422</v>
      </c>
      <c r="AA30" s="30">
        <f>SUM(Y30:Z30)</f>
        <v>9492.0062500000004</v>
      </c>
      <c r="AB30" s="30">
        <f t="shared" si="6"/>
        <v>1461.34</v>
      </c>
      <c r="AC30" s="30">
        <f t="shared" si="7"/>
        <v>-154.75</v>
      </c>
    </row>
    <row r="31" spans="1:30" x14ac:dyDescent="0.25">
      <c r="A31" s="44"/>
      <c r="C31" s="27"/>
      <c r="D31" s="27"/>
      <c r="F31" s="28"/>
      <c r="K31" s="28"/>
      <c r="L31" s="27"/>
      <c r="M31" s="27"/>
      <c r="N31" s="27"/>
      <c r="O31" s="27"/>
      <c r="P31" s="27"/>
      <c r="AB31" s="30"/>
      <c r="AC31" s="30"/>
    </row>
    <row r="32" spans="1:30" x14ac:dyDescent="0.25">
      <c r="A32" s="44">
        <v>5000</v>
      </c>
      <c r="C32" s="28">
        <f>+W32</f>
        <v>15394.961875000001</v>
      </c>
      <c r="D32" s="28">
        <f>+AA32</f>
        <v>18914.006249999999</v>
      </c>
      <c r="E32" s="28">
        <f t="shared" si="0"/>
        <v>2922.68</v>
      </c>
      <c r="F32" s="28">
        <f t="shared" si="1"/>
        <v>596.36437499999738</v>
      </c>
      <c r="G32" s="29">
        <f>ROUND(+F32/C32,4)</f>
        <v>3.8699999999999998E-2</v>
      </c>
      <c r="H32" s="28">
        <f>ROUND($A32*$V$10,2)</f>
        <v>18610.330000000002</v>
      </c>
      <c r="I32" s="28">
        <f>ROUND($A32*$V$11,2)</f>
        <v>64.069999999999993</v>
      </c>
      <c r="J32" s="28">
        <f>ROUND($V$12*A32,2)</f>
        <v>1374.06</v>
      </c>
      <c r="K32" s="28">
        <f t="shared" si="2"/>
        <v>38366.101875</v>
      </c>
      <c r="L32" s="28">
        <f>+D32+H32+I32+J32</f>
        <v>38962.466249999998</v>
      </c>
      <c r="M32" s="29">
        <f>ROUND((L32-K32)/K32,4)</f>
        <v>1.55E-2</v>
      </c>
      <c r="N32" s="28">
        <f t="shared" si="3"/>
        <v>-309.5</v>
      </c>
      <c r="O32" s="28">
        <f t="shared" si="4"/>
        <v>38652.966249999998</v>
      </c>
      <c r="P32" s="29">
        <f t="shared" si="5"/>
        <v>7.4999999999999997E-3</v>
      </c>
      <c r="U32" s="30">
        <f>+$U$20</f>
        <v>59.961874999999999</v>
      </c>
      <c r="V32" s="30">
        <f>ROUND($V$18*$A32,2)</f>
        <v>15335</v>
      </c>
      <c r="W32" s="30">
        <f>SUM(U32:V32)</f>
        <v>15394.961875000001</v>
      </c>
      <c r="Y32" s="30">
        <f>+$Y$20</f>
        <v>70.006249999999994</v>
      </c>
      <c r="Z32" s="30">
        <f>ROUND($Z$18*$A32,2)</f>
        <v>18844</v>
      </c>
      <c r="AA32" s="30">
        <f>SUM(Y32:Z32)</f>
        <v>18914.006249999999</v>
      </c>
      <c r="AB32" s="30">
        <f t="shared" si="6"/>
        <v>2922.68</v>
      </c>
      <c r="AC32" s="30">
        <f t="shared" si="7"/>
        <v>-309.5</v>
      </c>
    </row>
    <row r="33" spans="1:29" x14ac:dyDescent="0.25">
      <c r="A33" s="44"/>
      <c r="C33" s="27"/>
      <c r="D33" s="27"/>
      <c r="F33" s="28"/>
      <c r="K33" s="28"/>
      <c r="L33" s="27"/>
      <c r="M33" s="27"/>
      <c r="N33" s="27"/>
      <c r="O33" s="27"/>
      <c r="P33" s="27"/>
      <c r="AB33" s="30"/>
      <c r="AC33" s="30"/>
    </row>
    <row r="34" spans="1:29" x14ac:dyDescent="0.25">
      <c r="A34" s="44">
        <v>7500</v>
      </c>
      <c r="C34" s="28">
        <f>+W34</f>
        <v>23062.461875000001</v>
      </c>
      <c r="D34" s="28">
        <f>+AA34</f>
        <v>28336.006249999999</v>
      </c>
      <c r="E34" s="28">
        <f t="shared" si="0"/>
        <v>4384.0200000000004</v>
      </c>
      <c r="F34" s="28">
        <f>+D34-(E34+C34)</f>
        <v>889.52437499999724</v>
      </c>
      <c r="G34" s="29">
        <f>ROUND(+F34/C34,4)</f>
        <v>3.8600000000000002E-2</v>
      </c>
      <c r="H34" s="28">
        <f>ROUND($A34*$V$10,2)</f>
        <v>27915.49</v>
      </c>
      <c r="I34" s="28">
        <f>ROUND($A34*$V$11,2)</f>
        <v>96.11</v>
      </c>
      <c r="J34" s="28">
        <f>ROUND($V$12*A34,2)</f>
        <v>2061.09</v>
      </c>
      <c r="K34" s="28">
        <f>+C34+E34+H34+I34+J34</f>
        <v>57519.171875</v>
      </c>
      <c r="L34" s="28">
        <f>+D34+H34+I34+J34</f>
        <v>58408.696249999994</v>
      </c>
      <c r="M34" s="29">
        <f>ROUND((L34-K34)/K34,4)</f>
        <v>1.55E-2</v>
      </c>
      <c r="N34" s="28">
        <f t="shared" si="3"/>
        <v>-464.25</v>
      </c>
      <c r="O34" s="28">
        <f t="shared" si="4"/>
        <v>57944.446249999994</v>
      </c>
      <c r="P34" s="29">
        <f t="shared" si="5"/>
        <v>7.4000000000000003E-3</v>
      </c>
      <c r="U34" s="30">
        <f>+$U$20</f>
        <v>59.961874999999999</v>
      </c>
      <c r="V34" s="30">
        <f>ROUND($V$18*$A34,2)</f>
        <v>23002.5</v>
      </c>
      <c r="W34" s="30">
        <f>SUM(U34:V34)</f>
        <v>23062.461875000001</v>
      </c>
      <c r="Y34" s="30">
        <f>+$Y$20</f>
        <v>70.006249999999994</v>
      </c>
      <c r="Z34" s="30">
        <f>ROUND($Z$18*$A34,2)</f>
        <v>28266</v>
      </c>
      <c r="AA34" s="30">
        <f>SUM(Y34:Z34)</f>
        <v>28336.006249999999</v>
      </c>
      <c r="AB34" s="30">
        <f t="shared" si="6"/>
        <v>4384.0200000000004</v>
      </c>
      <c r="AC34" s="30">
        <f t="shared" si="7"/>
        <v>-464.25</v>
      </c>
    </row>
    <row r="35" spans="1:29" x14ac:dyDescent="0.25">
      <c r="K35" s="27"/>
      <c r="L35" s="27"/>
      <c r="M35" s="27"/>
      <c r="N35" s="27"/>
      <c r="O35" s="27"/>
      <c r="P35" s="27"/>
    </row>
    <row r="36" spans="1:29" x14ac:dyDescent="0.25">
      <c r="A36" s="26" t="s">
        <v>85</v>
      </c>
      <c r="C36" s="43"/>
      <c r="D36" s="44"/>
      <c r="E36" s="44"/>
      <c r="K36" s="28"/>
      <c r="L36" s="28"/>
      <c r="M36" s="29"/>
      <c r="N36" s="29"/>
      <c r="O36" s="29"/>
      <c r="P36" s="29"/>
    </row>
    <row r="37" spans="1:29" x14ac:dyDescent="0.25">
      <c r="A37" s="46" t="str">
        <f>("Forecast Period Average Usage = "&amp;ROUND(INPUT!D17,1)&amp;" Mcf per month")</f>
        <v>Forecast Period Average Usage = 33.7 Mcf per month</v>
      </c>
    </row>
    <row r="38" spans="1:29" x14ac:dyDescent="0.25">
      <c r="A38" s="47" t="s">
        <v>122</v>
      </c>
    </row>
    <row r="39" spans="1:29" x14ac:dyDescent="0.25">
      <c r="A39" s="60" t="str">
        <f>+'Rate Case Constants'!$C$26</f>
        <v>Calculations may vary from other schedules due to rounding</v>
      </c>
    </row>
    <row r="41" spans="1:29" x14ac:dyDescent="0.25">
      <c r="C41" s="28"/>
      <c r="D41" s="92"/>
      <c r="E41" s="92"/>
      <c r="F41" s="28"/>
      <c r="G41" s="64"/>
      <c r="H41" s="31"/>
      <c r="I41" s="31"/>
      <c r="J41" s="31"/>
      <c r="K41" s="28"/>
      <c r="L41" s="31"/>
      <c r="M41" s="64"/>
      <c r="N41" s="64"/>
      <c r="O41" s="64"/>
      <c r="P41" s="64"/>
      <c r="U41" s="30"/>
      <c r="V41" s="30"/>
      <c r="W41" s="30"/>
      <c r="Y41" s="30"/>
      <c r="Z41" s="30"/>
      <c r="AA41" s="30"/>
      <c r="AB41" s="30"/>
      <c r="AC41" s="30"/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53"/>
  <sheetViews>
    <sheetView zoomScale="70" zoomScaleNormal="70" zoomScaleSheetLayoutView="80" workbookViewId="0">
      <selection sqref="A1:P1"/>
    </sheetView>
  </sheetViews>
  <sheetFormatPr defaultColWidth="9.1796875" defaultRowHeight="12.5" x14ac:dyDescent="0.25"/>
  <cols>
    <col min="1" max="1" width="9.26953125" style="26" bestFit="1" customWidth="1"/>
    <col min="2" max="2" width="2" style="26" customWidth="1"/>
    <col min="3" max="7" width="12" style="26" customWidth="1"/>
    <col min="8" max="8" width="12.1796875" style="26" bestFit="1" customWidth="1"/>
    <col min="9" max="10" width="12" style="26" customWidth="1"/>
    <col min="11" max="11" width="12.7265625" style="26" bestFit="1" customWidth="1"/>
    <col min="12" max="16" width="12" style="26" customWidth="1"/>
    <col min="17" max="20" width="3.7265625" style="26" customWidth="1"/>
    <col min="21" max="21" width="9.1796875" style="26"/>
    <col min="22" max="22" width="13.26953125" style="26" bestFit="1" customWidth="1"/>
    <col min="23" max="23" width="11.54296875" style="26" bestFit="1" customWidth="1"/>
    <col min="24" max="24" width="9.1796875" style="26"/>
    <col min="25" max="25" width="11.453125" style="26" bestFit="1" customWidth="1"/>
    <col min="26" max="27" width="11.54296875" style="26" bestFit="1" customWidth="1"/>
    <col min="28" max="28" width="15.54296875" style="26" bestFit="1" customWidth="1"/>
    <col min="29" max="29" width="15.1796875" style="26" bestFit="1" customWidth="1"/>
    <col min="30" max="16384" width="9.1796875" style="26"/>
  </cols>
  <sheetData>
    <row r="1" spans="1:30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30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30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30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30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30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30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N7" s="74"/>
      <c r="O7" s="74"/>
      <c r="P7" s="74" t="str">
        <f>+'Rate Case Constants'!C25</f>
        <v>SCHEDULE N (Gas)</v>
      </c>
    </row>
    <row r="8" spans="1:30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5"/>
      <c r="O8" s="75"/>
      <c r="P8" s="75" t="str">
        <f>+'Rate Case Constants'!I10</f>
        <v>PAGE 3 OF 13</v>
      </c>
    </row>
    <row r="9" spans="1:30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4"/>
      <c r="O9" s="74"/>
      <c r="P9" s="74" t="str">
        <f>+'Rate Case Constants'!C36</f>
        <v>WITNESS:   R. M. CONROY</v>
      </c>
      <c r="V9" s="26" t="s">
        <v>167</v>
      </c>
    </row>
    <row r="10" spans="1:30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4"/>
      <c r="O10" s="84"/>
      <c r="P10" s="84"/>
      <c r="Q10" s="69"/>
      <c r="R10" s="69"/>
      <c r="S10" s="69"/>
      <c r="T10" s="69"/>
      <c r="U10" s="108" t="s">
        <v>26</v>
      </c>
      <c r="V10" s="54">
        <f>+INPUT!I44</f>
        <v>3.7220656368926077</v>
      </c>
      <c r="W10" s="27"/>
      <c r="X10" s="27"/>
      <c r="Y10" s="27"/>
      <c r="Z10" s="27"/>
      <c r="AA10" s="27"/>
      <c r="AB10" s="27"/>
      <c r="AC10" s="27"/>
      <c r="AD10" s="27"/>
    </row>
    <row r="11" spans="1:30" ht="13" x14ac:dyDescent="0.3">
      <c r="A11" s="80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9"/>
      <c r="R11" s="69"/>
      <c r="S11" s="69"/>
      <c r="T11" s="69"/>
      <c r="U11" s="108" t="s">
        <v>23</v>
      </c>
      <c r="V11" s="54">
        <f>+INPUT!J44</f>
        <v>1.2814479373026877E-2</v>
      </c>
      <c r="W11" s="12"/>
      <c r="X11" s="12"/>
      <c r="Y11" s="18"/>
      <c r="Z11" s="12"/>
      <c r="AA11" s="12"/>
      <c r="AB11" s="12"/>
      <c r="AC11" s="12"/>
      <c r="AD11" s="27"/>
    </row>
    <row r="12" spans="1:30" ht="13" x14ac:dyDescent="0.3">
      <c r="A12" s="12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21" t="s">
        <v>27</v>
      </c>
      <c r="V12" s="54">
        <f>INPUT!O44</f>
        <v>0.27481237601145259</v>
      </c>
      <c r="W12" s="12"/>
      <c r="X12" s="12"/>
      <c r="Y12" s="12"/>
      <c r="Z12" s="12"/>
      <c r="AA12" s="12"/>
      <c r="AB12" s="12"/>
      <c r="AC12" s="12"/>
      <c r="AD12" s="27"/>
    </row>
    <row r="13" spans="1:30" ht="13" x14ac:dyDescent="0.3">
      <c r="A13" s="12"/>
      <c r="B13" s="12"/>
      <c r="C13" s="13" t="s">
        <v>68</v>
      </c>
      <c r="D13" s="14" t="s">
        <v>76</v>
      </c>
      <c r="E13" s="14" t="s">
        <v>69</v>
      </c>
      <c r="F13" s="14" t="s">
        <v>70</v>
      </c>
      <c r="G13" s="13" t="s">
        <v>71</v>
      </c>
      <c r="H13" s="13" t="s">
        <v>72</v>
      </c>
      <c r="I13" s="13" t="s">
        <v>77</v>
      </c>
      <c r="J13" s="14" t="s">
        <v>73</v>
      </c>
      <c r="K13" s="13" t="s">
        <v>74</v>
      </c>
      <c r="L13" s="13" t="s">
        <v>75</v>
      </c>
      <c r="M13" s="13" t="s">
        <v>139</v>
      </c>
      <c r="N13" s="13" t="s">
        <v>140</v>
      </c>
      <c r="O13" s="13" t="s">
        <v>141</v>
      </c>
      <c r="P13" s="13" t="s">
        <v>142</v>
      </c>
      <c r="U13" s="12"/>
      <c r="V13" s="12"/>
      <c r="W13" s="12"/>
      <c r="X13" s="12"/>
      <c r="AD13" s="27"/>
    </row>
    <row r="14" spans="1:30" ht="13" x14ac:dyDescent="0.3">
      <c r="A14" s="27"/>
      <c r="B14" s="27"/>
      <c r="C14" s="62" t="s">
        <v>92</v>
      </c>
      <c r="D14" s="62" t="s">
        <v>92</v>
      </c>
      <c r="E14" s="62" t="s">
        <v>27</v>
      </c>
      <c r="F14" s="27"/>
      <c r="G14" s="27"/>
      <c r="H14" s="27"/>
      <c r="I14" s="27"/>
      <c r="J14" s="27"/>
      <c r="K14" s="13" t="s">
        <v>18</v>
      </c>
      <c r="L14" s="13" t="s">
        <v>18</v>
      </c>
      <c r="M14" s="27"/>
      <c r="N14" s="13" t="s">
        <v>175</v>
      </c>
      <c r="O14" s="13" t="s">
        <v>18</v>
      </c>
      <c r="P14" s="13"/>
      <c r="U14" s="19" t="s">
        <v>0</v>
      </c>
      <c r="V14" s="19"/>
      <c r="W14" s="19"/>
      <c r="X14" s="27"/>
      <c r="Y14" s="19" t="s">
        <v>17</v>
      </c>
      <c r="Z14" s="19"/>
      <c r="AA14" s="19"/>
      <c r="AB14" s="137" t="s">
        <v>168</v>
      </c>
      <c r="AC14" s="19"/>
      <c r="AD14" s="27"/>
    </row>
    <row r="15" spans="1:30" ht="13" x14ac:dyDescent="0.3">
      <c r="A15" s="27"/>
      <c r="B15" s="27"/>
      <c r="C15" s="13" t="s">
        <v>13</v>
      </c>
      <c r="D15" s="13" t="s">
        <v>19</v>
      </c>
      <c r="E15" s="13" t="s">
        <v>152</v>
      </c>
      <c r="F15" s="13"/>
      <c r="G15" s="13"/>
      <c r="H15" s="148" t="s">
        <v>20</v>
      </c>
      <c r="I15" s="148"/>
      <c r="J15" s="149"/>
      <c r="K15" s="13" t="s">
        <v>13</v>
      </c>
      <c r="L15" s="13" t="s">
        <v>19</v>
      </c>
      <c r="M15" s="13"/>
      <c r="N15" s="13" t="s">
        <v>176</v>
      </c>
      <c r="O15" s="13" t="s">
        <v>19</v>
      </c>
      <c r="P15" s="13"/>
      <c r="U15" s="14" t="s">
        <v>29</v>
      </c>
      <c r="V15" s="13"/>
      <c r="W15" s="14"/>
      <c r="X15" s="27"/>
      <c r="Y15" s="14" t="s">
        <v>29</v>
      </c>
      <c r="Z15" s="13"/>
      <c r="AA15" s="14"/>
      <c r="AB15" s="14" t="s">
        <v>154</v>
      </c>
      <c r="AC15" s="14" t="s">
        <v>143</v>
      </c>
      <c r="AD15" s="27"/>
    </row>
    <row r="16" spans="1:30" ht="13" x14ac:dyDescent="0.3">
      <c r="A16" s="13"/>
      <c r="B16" s="13"/>
      <c r="C16" s="13" t="s">
        <v>21</v>
      </c>
      <c r="D16" s="13" t="s">
        <v>21</v>
      </c>
      <c r="E16" s="13" t="s">
        <v>153</v>
      </c>
      <c r="F16" s="13" t="s">
        <v>22</v>
      </c>
      <c r="G16" s="13" t="s">
        <v>22</v>
      </c>
      <c r="H16" s="13" t="s">
        <v>26</v>
      </c>
      <c r="I16" s="13" t="s">
        <v>23</v>
      </c>
      <c r="J16" s="13" t="s">
        <v>27</v>
      </c>
      <c r="K16" s="13" t="s">
        <v>21</v>
      </c>
      <c r="L16" s="13" t="s">
        <v>21</v>
      </c>
      <c r="M16" s="13" t="s">
        <v>22</v>
      </c>
      <c r="N16" s="13" t="s">
        <v>143</v>
      </c>
      <c r="O16" s="13" t="s">
        <v>144</v>
      </c>
      <c r="P16" s="13" t="s">
        <v>22</v>
      </c>
      <c r="U16" s="14" t="s">
        <v>30</v>
      </c>
      <c r="V16" s="13" t="s">
        <v>93</v>
      </c>
      <c r="W16" s="14" t="s">
        <v>18</v>
      </c>
      <c r="X16" s="27"/>
      <c r="Y16" s="14" t="s">
        <v>30</v>
      </c>
      <c r="Z16" s="13" t="s">
        <v>93</v>
      </c>
      <c r="AA16" s="14" t="s">
        <v>18</v>
      </c>
      <c r="AB16" s="14">
        <f>INPUT!O50</f>
        <v>0.58453588979318905</v>
      </c>
      <c r="AC16" s="14">
        <f>INPUT!D34</f>
        <v>-6.1899999999999997E-2</v>
      </c>
      <c r="AD16" s="27"/>
    </row>
    <row r="17" spans="1:30" ht="13" x14ac:dyDescent="0.3">
      <c r="A17" s="13" t="s">
        <v>123</v>
      </c>
      <c r="B17" s="13"/>
      <c r="C17" s="13"/>
      <c r="D17" s="13"/>
      <c r="E17" s="76"/>
      <c r="F17" s="13" t="s">
        <v>24</v>
      </c>
      <c r="G17" s="14" t="s">
        <v>25</v>
      </c>
      <c r="H17" s="15"/>
      <c r="I17" s="15"/>
      <c r="J17" s="16"/>
      <c r="K17" s="13" t="s">
        <v>24</v>
      </c>
      <c r="L17" s="13" t="s">
        <v>24</v>
      </c>
      <c r="M17" s="14" t="s">
        <v>25</v>
      </c>
      <c r="N17" s="77"/>
      <c r="O17" s="77" t="s">
        <v>143</v>
      </c>
      <c r="P17" s="77" t="s">
        <v>25</v>
      </c>
      <c r="U17" s="32" t="s">
        <v>31</v>
      </c>
      <c r="V17" s="33" t="s">
        <v>31</v>
      </c>
      <c r="W17" s="32" t="s">
        <v>21</v>
      </c>
      <c r="X17" s="27"/>
      <c r="Y17" s="32" t="s">
        <v>31</v>
      </c>
      <c r="Z17" s="33" t="s">
        <v>31</v>
      </c>
      <c r="AA17" s="32" t="s">
        <v>21</v>
      </c>
      <c r="AB17" s="114" t="s">
        <v>147</v>
      </c>
      <c r="AC17" s="114" t="s">
        <v>147</v>
      </c>
      <c r="AD17" s="27"/>
    </row>
    <row r="18" spans="1:30" ht="13" x14ac:dyDescent="0.3">
      <c r="A18" s="71"/>
      <c r="B18" s="71"/>
      <c r="C18" s="71"/>
      <c r="D18" s="71"/>
      <c r="E18" s="115"/>
      <c r="F18" s="116" t="str">
        <f>("[ "&amp;D13&amp;" - ("&amp;E13&amp;" + "&amp;C13&amp;") ]")</f>
        <v>[ B - (C + A) ]</v>
      </c>
      <c r="G18" s="116" t="str">
        <f>("[ "&amp;F13&amp;" / "&amp;C13&amp;" ]")</f>
        <v>[ D / A ]</v>
      </c>
      <c r="H18" s="117"/>
      <c r="I18" s="117"/>
      <c r="J18" s="117"/>
      <c r="K18" s="116" t="str">
        <f>("["&amp;C13&amp;"+"&amp;E13&amp;"+"&amp;$H$13&amp;"+"&amp;$I$13&amp;"+"&amp;$J$13&amp;"]")</f>
        <v>[A+C+F+G+H]</v>
      </c>
      <c r="L18" s="116" t="str">
        <f>("["&amp;D13&amp;"+"&amp;H13&amp;"+"&amp;I13&amp;"+"&amp;J13&amp;"]")</f>
        <v>[B+F+G+H]</v>
      </c>
      <c r="M18" s="115" t="str">
        <f>("[("&amp;L13&amp;" - "&amp;K13&amp;") / "&amp;K13&amp;"]")</f>
        <v>[(J - I) / I]</v>
      </c>
      <c r="N18" s="115"/>
      <c r="O18" s="115" t="s">
        <v>145</v>
      </c>
      <c r="P18" s="115" t="s">
        <v>146</v>
      </c>
      <c r="U18" s="14"/>
      <c r="V18" s="20">
        <f>+INPUT!$D$9</f>
        <v>3.0670000000000002</v>
      </c>
      <c r="W18" s="14"/>
      <c r="X18" s="27"/>
      <c r="Y18" s="14"/>
      <c r="Z18" s="20">
        <f>+INPUT!$D$27</f>
        <v>3.7688000000000001</v>
      </c>
      <c r="AA18" s="14"/>
      <c r="AB18" s="14"/>
      <c r="AC18" s="14"/>
      <c r="AD18" s="27"/>
    </row>
    <row r="19" spans="1:30" ht="13" x14ac:dyDescent="0.3">
      <c r="A19" s="13"/>
      <c r="B19" s="13"/>
      <c r="C19" s="13"/>
      <c r="D19" s="13"/>
      <c r="E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U19" s="14"/>
      <c r="V19" s="14" t="s">
        <v>94</v>
      </c>
      <c r="W19" s="14"/>
      <c r="X19" s="27"/>
      <c r="Y19" s="14"/>
      <c r="Z19" s="14" t="s">
        <v>94</v>
      </c>
      <c r="AA19" s="14"/>
      <c r="AB19" s="14"/>
      <c r="AC19" s="14"/>
      <c r="AD19" s="27"/>
    </row>
    <row r="20" spans="1:30" x14ac:dyDescent="0.25">
      <c r="A20" s="44">
        <v>25</v>
      </c>
      <c r="C20" s="28">
        <f>+W20</f>
        <v>361.87937499999998</v>
      </c>
      <c r="D20" s="28">
        <f>+AA20</f>
        <v>429.03250000000003</v>
      </c>
      <c r="E20" s="28">
        <f>AB20</f>
        <v>14.61</v>
      </c>
      <c r="F20" s="28">
        <f>+D20-(E20+C20)</f>
        <v>52.543125000000032</v>
      </c>
      <c r="G20" s="29">
        <f>ROUND(+F20/C20,4)</f>
        <v>0.1452</v>
      </c>
      <c r="H20" s="28">
        <f>ROUND($A20*$V$10,2)</f>
        <v>93.05</v>
      </c>
      <c r="I20" s="28">
        <f>ROUND($A20*$V$11,2)</f>
        <v>0.32</v>
      </c>
      <c r="J20" s="28">
        <f>ROUND($V$12*A20,2)</f>
        <v>6.87</v>
      </c>
      <c r="K20" s="28">
        <f>+C20+E20+H20+I20+J20</f>
        <v>476.729375</v>
      </c>
      <c r="L20" s="28">
        <f>+D20+H20+I20+J20</f>
        <v>529.27250000000004</v>
      </c>
      <c r="M20" s="29">
        <f>ROUND((L20-K20)/K20,4)</f>
        <v>0.11020000000000001</v>
      </c>
      <c r="N20" s="28">
        <f>AC20</f>
        <v>-1.55</v>
      </c>
      <c r="O20" s="28">
        <f>L20+N20</f>
        <v>527.72250000000008</v>
      </c>
      <c r="P20" s="29">
        <f>ROUND((O20-K20)/K20,4)</f>
        <v>0.107</v>
      </c>
      <c r="U20" s="30">
        <f>+INPUT!$D$7</f>
        <v>285.19937499999997</v>
      </c>
      <c r="V20" s="30">
        <f>ROUND($V$18*$A20,2)</f>
        <v>76.680000000000007</v>
      </c>
      <c r="W20" s="30">
        <f>SUM(U20:V20)</f>
        <v>361.87937499999998</v>
      </c>
      <c r="Y20" s="30">
        <f>+INPUT!$D$24</f>
        <v>334.8125</v>
      </c>
      <c r="Z20" s="30">
        <f>ROUND($Z$18*$A20,2)</f>
        <v>94.22</v>
      </c>
      <c r="AA20" s="30">
        <f>SUM(Y20:Z20)</f>
        <v>429.03250000000003</v>
      </c>
      <c r="AB20" s="30">
        <f>ROUND($AB$16*A20,2)</f>
        <v>14.61</v>
      </c>
      <c r="AC20" s="30">
        <f>ROUND($AC$16*A20,2)</f>
        <v>-1.55</v>
      </c>
      <c r="AD20" s="93"/>
    </row>
    <row r="21" spans="1:30" x14ac:dyDescent="0.25">
      <c r="A21" s="44"/>
      <c r="C21" s="27"/>
      <c r="D21" s="27"/>
      <c r="E21" s="27"/>
      <c r="F21" s="28"/>
      <c r="K21" s="28"/>
      <c r="L21" s="27"/>
      <c r="M21" s="27"/>
      <c r="N21" s="27"/>
      <c r="O21" s="27"/>
      <c r="P21" s="27"/>
      <c r="AB21" s="30"/>
      <c r="AC21" s="30"/>
    </row>
    <row r="22" spans="1:30" x14ac:dyDescent="0.25">
      <c r="A22" s="44">
        <v>50</v>
      </c>
      <c r="C22" s="28">
        <f>+W22</f>
        <v>438.54937499999994</v>
      </c>
      <c r="D22" s="28">
        <f>+AA22</f>
        <v>523.25250000000005</v>
      </c>
      <c r="E22" s="28">
        <f t="shared" ref="E22:E34" si="0">AB22</f>
        <v>29.23</v>
      </c>
      <c r="F22" s="28">
        <f t="shared" ref="F22:F34" si="1">+D22-(E22+C22)</f>
        <v>55.473125000000095</v>
      </c>
      <c r="G22" s="64">
        <f>ROUND(+F22/C22,4)</f>
        <v>0.1265</v>
      </c>
      <c r="H22" s="31">
        <f>ROUND($A22*$V$10,2)</f>
        <v>186.1</v>
      </c>
      <c r="I22" s="31">
        <f>ROUND($A22*$V$11,2)</f>
        <v>0.64</v>
      </c>
      <c r="J22" s="28">
        <f>ROUND($V$12*A22,2)</f>
        <v>13.74</v>
      </c>
      <c r="K22" s="28">
        <f t="shared" ref="K22:K32" si="2">+C22+E22+H22+I22+J22</f>
        <v>668.25937499999998</v>
      </c>
      <c r="L22" s="31">
        <f>+D22+H22+I22+J22</f>
        <v>723.73250000000007</v>
      </c>
      <c r="M22" s="64">
        <f>ROUND((L22-K22)/K22,4)</f>
        <v>8.3000000000000004E-2</v>
      </c>
      <c r="N22" s="28">
        <f t="shared" ref="N22:N34" si="3">AC22</f>
        <v>-3.1</v>
      </c>
      <c r="O22" s="28">
        <f t="shared" ref="O22:O34" si="4">L22+N22</f>
        <v>720.63250000000005</v>
      </c>
      <c r="P22" s="64">
        <f t="shared" ref="P22:P34" si="5">ROUND((O22-K22)/K22,4)</f>
        <v>7.8399999999999997E-2</v>
      </c>
      <c r="U22" s="30">
        <f>+$U$20</f>
        <v>285.19937499999997</v>
      </c>
      <c r="V22" s="30">
        <f>ROUND($V$18*$A22,2)</f>
        <v>153.35</v>
      </c>
      <c r="W22" s="30">
        <f>SUM(U22:V22)</f>
        <v>438.54937499999994</v>
      </c>
      <c r="Y22" s="30">
        <f>+$Y$20</f>
        <v>334.8125</v>
      </c>
      <c r="Z22" s="30">
        <f>ROUND($Z$18*$A22,2)</f>
        <v>188.44</v>
      </c>
      <c r="AA22" s="30">
        <f>SUM(Y22:Z22)</f>
        <v>523.25250000000005</v>
      </c>
      <c r="AB22" s="30">
        <f t="shared" ref="AB22:AB34" si="6">ROUND($AB$16*A22,2)</f>
        <v>29.23</v>
      </c>
      <c r="AC22" s="30">
        <f t="shared" ref="AC22:AC34" si="7">ROUND($AC$16*A22,2)</f>
        <v>-3.1</v>
      </c>
      <c r="AD22" s="63"/>
    </row>
    <row r="23" spans="1:30" x14ac:dyDescent="0.25">
      <c r="A23" s="44"/>
      <c r="C23" s="28"/>
      <c r="D23" s="28"/>
      <c r="E23" s="28"/>
      <c r="F23" s="28"/>
      <c r="K23" s="28"/>
      <c r="L23" s="28"/>
      <c r="M23" s="29"/>
      <c r="N23" s="28"/>
      <c r="O23" s="28"/>
      <c r="P23" s="29"/>
      <c r="AB23" s="30"/>
      <c r="AC23" s="30"/>
    </row>
    <row r="24" spans="1:30" x14ac:dyDescent="0.25">
      <c r="A24" s="44">
        <v>100</v>
      </c>
      <c r="C24" s="28">
        <f>+W24</f>
        <v>591.89937499999996</v>
      </c>
      <c r="D24" s="28">
        <f>+AA24</f>
        <v>711.6925</v>
      </c>
      <c r="E24" s="28">
        <f t="shared" si="0"/>
        <v>58.45</v>
      </c>
      <c r="F24" s="28">
        <f t="shared" si="1"/>
        <v>61.343124999999986</v>
      </c>
      <c r="G24" s="29">
        <f>ROUND(+F24/C24,4)</f>
        <v>0.1036</v>
      </c>
      <c r="H24" s="28">
        <f>ROUND($A24*$V$10,2)</f>
        <v>372.21</v>
      </c>
      <c r="I24" s="28">
        <f>ROUND($A24*$V$11,2)</f>
        <v>1.28</v>
      </c>
      <c r="J24" s="28">
        <f>ROUND($V$12*A24,2)</f>
        <v>27.48</v>
      </c>
      <c r="K24" s="28">
        <f t="shared" si="2"/>
        <v>1051.319375</v>
      </c>
      <c r="L24" s="28">
        <f>+D24+H24+I24+J24</f>
        <v>1112.6624999999999</v>
      </c>
      <c r="M24" s="29">
        <f>ROUND((L24-K24)/K24,4)</f>
        <v>5.8299999999999998E-2</v>
      </c>
      <c r="N24" s="28">
        <f t="shared" si="3"/>
        <v>-6.19</v>
      </c>
      <c r="O24" s="28">
        <f t="shared" si="4"/>
        <v>1106.4724999999999</v>
      </c>
      <c r="P24" s="29">
        <f t="shared" si="5"/>
        <v>5.2499999999999998E-2</v>
      </c>
      <c r="U24" s="30">
        <f>+$U$20</f>
        <v>285.19937499999997</v>
      </c>
      <c r="V24" s="30">
        <f>ROUND($V$18*$A24,2)</f>
        <v>306.7</v>
      </c>
      <c r="W24" s="30">
        <f>SUM(U24:V24)</f>
        <v>591.89937499999996</v>
      </c>
      <c r="Y24" s="30">
        <f>+$Y$20</f>
        <v>334.8125</v>
      </c>
      <c r="Z24" s="30">
        <f>ROUND($Z$18*$A24,2)</f>
        <v>376.88</v>
      </c>
      <c r="AA24" s="30">
        <f>SUM(Y24:Z24)</f>
        <v>711.6925</v>
      </c>
      <c r="AB24" s="30">
        <f t="shared" si="6"/>
        <v>58.45</v>
      </c>
      <c r="AC24" s="30">
        <f t="shared" si="7"/>
        <v>-6.19</v>
      </c>
    </row>
    <row r="25" spans="1:30" x14ac:dyDescent="0.25">
      <c r="A25" s="44"/>
      <c r="C25" s="27"/>
      <c r="D25" s="27"/>
      <c r="E25" s="27"/>
      <c r="F25" s="28"/>
      <c r="K25" s="28"/>
      <c r="L25" s="27"/>
      <c r="M25" s="27"/>
      <c r="N25" s="27"/>
      <c r="O25" s="27"/>
      <c r="P25" s="27"/>
      <c r="AB25" s="30"/>
      <c r="AC25" s="30"/>
    </row>
    <row r="26" spans="1:30" x14ac:dyDescent="0.25">
      <c r="A26" s="44">
        <v>500</v>
      </c>
      <c r="C26" s="31">
        <f>+W26</f>
        <v>1818.6993749999999</v>
      </c>
      <c r="D26" s="31">
        <f>+AA26</f>
        <v>2219.2125000000001</v>
      </c>
      <c r="E26" s="31">
        <f t="shared" si="0"/>
        <v>292.27</v>
      </c>
      <c r="F26" s="28">
        <f t="shared" si="1"/>
        <v>108.24312500000042</v>
      </c>
      <c r="G26" s="29">
        <f>ROUND(+F26/C26,4)</f>
        <v>5.9499999999999997E-2</v>
      </c>
      <c r="H26" s="28">
        <f>ROUND($A26*$V$10,2)</f>
        <v>1861.03</v>
      </c>
      <c r="I26" s="28">
        <f>ROUND($A26*$V$11,2)</f>
        <v>6.41</v>
      </c>
      <c r="J26" s="28">
        <f>ROUND($V$12*A26,2)</f>
        <v>137.41</v>
      </c>
      <c r="K26" s="28">
        <f t="shared" si="2"/>
        <v>4115.8193749999991</v>
      </c>
      <c r="L26" s="28">
        <f>+D26+H26+I26+J26</f>
        <v>4224.0625</v>
      </c>
      <c r="M26" s="29">
        <f>ROUND((L26-K26)/K26,4)</f>
        <v>2.63E-2</v>
      </c>
      <c r="N26" s="31">
        <f t="shared" si="3"/>
        <v>-30.95</v>
      </c>
      <c r="O26" s="31">
        <f t="shared" si="4"/>
        <v>4193.1125000000002</v>
      </c>
      <c r="P26" s="29">
        <f t="shared" si="5"/>
        <v>1.8800000000000001E-2</v>
      </c>
      <c r="U26" s="30">
        <f>+$U$20</f>
        <v>285.19937499999997</v>
      </c>
      <c r="V26" s="30">
        <f>ROUND($V$18*$A26,2)</f>
        <v>1533.5</v>
      </c>
      <c r="W26" s="30">
        <f>SUM(U26:V26)</f>
        <v>1818.6993749999999</v>
      </c>
      <c r="Y26" s="30">
        <f>+$Y$20</f>
        <v>334.8125</v>
      </c>
      <c r="Z26" s="30">
        <f>ROUND($Z$18*$A26,2)</f>
        <v>1884.4</v>
      </c>
      <c r="AA26" s="30">
        <f>SUM(Y26:Z26)</f>
        <v>2219.2125000000001</v>
      </c>
      <c r="AB26" s="30">
        <f t="shared" si="6"/>
        <v>292.27</v>
      </c>
      <c r="AC26" s="30">
        <f t="shared" si="7"/>
        <v>-30.95</v>
      </c>
    </row>
    <row r="27" spans="1:30" x14ac:dyDescent="0.25">
      <c r="A27" s="44"/>
      <c r="C27" s="27"/>
      <c r="D27" s="27"/>
      <c r="E27" s="27"/>
      <c r="F27" s="28"/>
      <c r="K27" s="28"/>
      <c r="L27" s="27"/>
      <c r="M27" s="27"/>
      <c r="N27" s="27"/>
      <c r="O27" s="27"/>
      <c r="P27" s="27"/>
      <c r="AB27" s="30"/>
      <c r="AC27" s="30"/>
    </row>
    <row r="28" spans="1:30" x14ac:dyDescent="0.25">
      <c r="A28" s="44">
        <v>1000</v>
      </c>
      <c r="C28" s="28">
        <f>+W28</f>
        <v>3352.1993750000001</v>
      </c>
      <c r="D28" s="28">
        <f>+AA28</f>
        <v>4103.6125000000002</v>
      </c>
      <c r="E28" s="28">
        <f t="shared" si="0"/>
        <v>584.54</v>
      </c>
      <c r="F28" s="28">
        <f t="shared" si="1"/>
        <v>166.87312500000007</v>
      </c>
      <c r="G28" s="29">
        <f>ROUND(+F28/C28,4)</f>
        <v>4.9799999999999997E-2</v>
      </c>
      <c r="H28" s="28">
        <f>ROUND($A28*$V$10,2)</f>
        <v>3722.07</v>
      </c>
      <c r="I28" s="28">
        <f>ROUND($A28*$V$11,2)</f>
        <v>12.81</v>
      </c>
      <c r="J28" s="28">
        <f>ROUND($V$12*A28,2)</f>
        <v>274.81</v>
      </c>
      <c r="K28" s="28">
        <f t="shared" si="2"/>
        <v>7946.4293750000015</v>
      </c>
      <c r="L28" s="28">
        <f>+D28+H28+I28+J28</f>
        <v>8113.3025000000016</v>
      </c>
      <c r="M28" s="29">
        <f>ROUND((L28-K28)/K28,4)</f>
        <v>2.1000000000000001E-2</v>
      </c>
      <c r="N28" s="28">
        <f t="shared" si="3"/>
        <v>-61.9</v>
      </c>
      <c r="O28" s="28">
        <f t="shared" si="4"/>
        <v>8051.402500000002</v>
      </c>
      <c r="P28" s="29">
        <f t="shared" si="5"/>
        <v>1.32E-2</v>
      </c>
      <c r="U28" s="30">
        <f>+$U$20</f>
        <v>285.19937499999997</v>
      </c>
      <c r="V28" s="30">
        <f>ROUND($V$18*$A28,2)</f>
        <v>3067</v>
      </c>
      <c r="W28" s="30">
        <f>SUM(U28:V28)</f>
        <v>3352.1993750000001</v>
      </c>
      <c r="Y28" s="30">
        <f>+$Y$20</f>
        <v>334.8125</v>
      </c>
      <c r="Z28" s="30">
        <f>ROUND($Z$18*$A28,2)</f>
        <v>3768.8</v>
      </c>
      <c r="AA28" s="30">
        <f>SUM(Y28:Z28)</f>
        <v>4103.6125000000002</v>
      </c>
      <c r="AB28" s="30">
        <f t="shared" si="6"/>
        <v>584.54</v>
      </c>
      <c r="AC28" s="30">
        <f t="shared" si="7"/>
        <v>-61.9</v>
      </c>
    </row>
    <row r="29" spans="1:30" x14ac:dyDescent="0.25">
      <c r="A29" s="44"/>
      <c r="C29" s="27"/>
      <c r="D29" s="27"/>
      <c r="E29" s="27"/>
      <c r="F29" s="28"/>
      <c r="K29" s="28"/>
      <c r="L29" s="27"/>
      <c r="M29" s="27"/>
      <c r="N29" s="27"/>
      <c r="O29" s="27"/>
      <c r="P29" s="27"/>
      <c r="AB29" s="30"/>
      <c r="AC29" s="30"/>
    </row>
    <row r="30" spans="1:30" x14ac:dyDescent="0.25">
      <c r="A30" s="44">
        <v>2500</v>
      </c>
      <c r="C30" s="28">
        <f>+W30</f>
        <v>7952.6993750000001</v>
      </c>
      <c r="D30" s="28">
        <f>+AA30</f>
        <v>9756.8125</v>
      </c>
      <c r="E30" s="28">
        <f t="shared" si="0"/>
        <v>1461.34</v>
      </c>
      <c r="F30" s="28">
        <f t="shared" si="1"/>
        <v>342.77312499999971</v>
      </c>
      <c r="G30" s="29">
        <f>ROUND(+F30/C30,4)</f>
        <v>4.3099999999999999E-2</v>
      </c>
      <c r="H30" s="28">
        <f>ROUND($A30*$V$10,2)</f>
        <v>9305.16</v>
      </c>
      <c r="I30" s="28">
        <f>ROUND($A30*$V$11,2)</f>
        <v>32.04</v>
      </c>
      <c r="J30" s="28">
        <f>ROUND($V$12*A30,2)</f>
        <v>687.03</v>
      </c>
      <c r="K30" s="28">
        <f t="shared" si="2"/>
        <v>19438.269375</v>
      </c>
      <c r="L30" s="28">
        <f>+D30+H30+I30+J30</f>
        <v>19781.0425</v>
      </c>
      <c r="M30" s="29">
        <f>ROUND((L30-K30)/K30,4)</f>
        <v>1.7600000000000001E-2</v>
      </c>
      <c r="N30" s="28">
        <f t="shared" si="3"/>
        <v>-154.75</v>
      </c>
      <c r="O30" s="28">
        <f t="shared" si="4"/>
        <v>19626.2925</v>
      </c>
      <c r="P30" s="29">
        <f t="shared" si="5"/>
        <v>9.7000000000000003E-3</v>
      </c>
      <c r="U30" s="30">
        <f>+$U$20</f>
        <v>285.19937499999997</v>
      </c>
      <c r="V30" s="30">
        <f>ROUND($V$18*$A30,2)</f>
        <v>7667.5</v>
      </c>
      <c r="W30" s="30">
        <f>SUM(U30:V30)</f>
        <v>7952.6993750000001</v>
      </c>
      <c r="Y30" s="30">
        <f>+$Y$20</f>
        <v>334.8125</v>
      </c>
      <c r="Z30" s="30">
        <f>ROUND($Z$18*$A30,2)</f>
        <v>9422</v>
      </c>
      <c r="AA30" s="30">
        <f>SUM(Y30:Z30)</f>
        <v>9756.8125</v>
      </c>
      <c r="AB30" s="30">
        <f t="shared" si="6"/>
        <v>1461.34</v>
      </c>
      <c r="AC30" s="30">
        <f t="shared" si="7"/>
        <v>-154.75</v>
      </c>
    </row>
    <row r="31" spans="1:30" x14ac:dyDescent="0.25">
      <c r="A31" s="44"/>
      <c r="C31" s="27"/>
      <c r="D31" s="27"/>
      <c r="E31" s="27"/>
      <c r="F31" s="28"/>
      <c r="K31" s="28"/>
      <c r="L31" s="27"/>
      <c r="M31" s="27"/>
      <c r="N31" s="27"/>
      <c r="O31" s="27"/>
      <c r="P31" s="27"/>
      <c r="AB31" s="30"/>
      <c r="AC31" s="30"/>
    </row>
    <row r="32" spans="1:30" x14ac:dyDescent="0.25">
      <c r="A32" s="44">
        <v>5000</v>
      </c>
      <c r="C32" s="28">
        <f>+W32</f>
        <v>15620.199375</v>
      </c>
      <c r="D32" s="28">
        <f>+AA32</f>
        <v>19178.8125</v>
      </c>
      <c r="E32" s="28">
        <f t="shared" si="0"/>
        <v>2922.68</v>
      </c>
      <c r="F32" s="28">
        <f t="shared" si="1"/>
        <v>635.93312499999956</v>
      </c>
      <c r="G32" s="29">
        <f>ROUND(+F32/C32,4)</f>
        <v>4.07E-2</v>
      </c>
      <c r="H32" s="28">
        <f>ROUND($A32*$V$10,2)</f>
        <v>18610.330000000002</v>
      </c>
      <c r="I32" s="28">
        <f>ROUND($A32*$V$11,2)</f>
        <v>64.069999999999993</v>
      </c>
      <c r="J32" s="28">
        <f>ROUND($V$12*A32,2)</f>
        <v>1374.06</v>
      </c>
      <c r="K32" s="28">
        <f t="shared" si="2"/>
        <v>38591.339375000003</v>
      </c>
      <c r="L32" s="28">
        <f>+D32+H32+I32+J32</f>
        <v>39227.272499999999</v>
      </c>
      <c r="M32" s="29">
        <f>ROUND((L32-K32)/K32,4)</f>
        <v>1.6500000000000001E-2</v>
      </c>
      <c r="N32" s="28">
        <f t="shared" si="3"/>
        <v>-309.5</v>
      </c>
      <c r="O32" s="28">
        <f t="shared" si="4"/>
        <v>38917.772499999999</v>
      </c>
      <c r="P32" s="29">
        <f t="shared" si="5"/>
        <v>8.5000000000000006E-3</v>
      </c>
      <c r="U32" s="30">
        <f>+$U$20</f>
        <v>285.19937499999997</v>
      </c>
      <c r="V32" s="30">
        <f>ROUND($V$18*$A32,2)</f>
        <v>15335</v>
      </c>
      <c r="W32" s="30">
        <f>SUM(U32:V32)</f>
        <v>15620.199375</v>
      </c>
      <c r="Y32" s="30">
        <f>+$Y$20</f>
        <v>334.8125</v>
      </c>
      <c r="Z32" s="30">
        <f>ROUND($Z$18*$A32,2)</f>
        <v>18844</v>
      </c>
      <c r="AA32" s="30">
        <f>SUM(Y32:Z32)</f>
        <v>19178.8125</v>
      </c>
      <c r="AB32" s="30">
        <f t="shared" si="6"/>
        <v>2922.68</v>
      </c>
      <c r="AC32" s="30">
        <f t="shared" si="7"/>
        <v>-309.5</v>
      </c>
    </row>
    <row r="33" spans="1:29" x14ac:dyDescent="0.25">
      <c r="A33" s="44"/>
      <c r="C33" s="27"/>
      <c r="D33" s="27"/>
      <c r="E33" s="27"/>
      <c r="F33" s="28"/>
      <c r="K33" s="28"/>
      <c r="L33" s="27"/>
      <c r="M33" s="27"/>
      <c r="N33" s="27"/>
      <c r="O33" s="27"/>
      <c r="P33" s="27"/>
      <c r="AB33" s="30"/>
      <c r="AC33" s="30"/>
    </row>
    <row r="34" spans="1:29" x14ac:dyDescent="0.25">
      <c r="A34" s="44">
        <v>7500</v>
      </c>
      <c r="C34" s="28">
        <f>+W34</f>
        <v>23287.699375</v>
      </c>
      <c r="D34" s="28">
        <f>+AA34</f>
        <v>28600.8125</v>
      </c>
      <c r="E34" s="28">
        <f t="shared" si="0"/>
        <v>4384.0200000000004</v>
      </c>
      <c r="F34" s="28">
        <f t="shared" si="1"/>
        <v>929.09312499999942</v>
      </c>
      <c r="G34" s="29">
        <f>ROUND(+F34/C34,4)</f>
        <v>3.9899999999999998E-2</v>
      </c>
      <c r="H34" s="28">
        <f>ROUND($A34*$V$10,2)</f>
        <v>27915.49</v>
      </c>
      <c r="I34" s="28">
        <f>ROUND($A34*$V$11,2)</f>
        <v>96.11</v>
      </c>
      <c r="J34" s="28">
        <f>ROUND($V$12*A34,2)</f>
        <v>2061.09</v>
      </c>
      <c r="K34" s="28">
        <f>+C34+E34+H34+I34+J34</f>
        <v>57744.409375000003</v>
      </c>
      <c r="L34" s="28">
        <f>+D34+H34+I34+J34</f>
        <v>58673.502500000002</v>
      </c>
      <c r="M34" s="29">
        <f>ROUND((L34-K34)/K34,4)</f>
        <v>1.61E-2</v>
      </c>
      <c r="N34" s="28">
        <f t="shared" si="3"/>
        <v>-464.25</v>
      </c>
      <c r="O34" s="28">
        <f t="shared" si="4"/>
        <v>58209.252500000002</v>
      </c>
      <c r="P34" s="29">
        <f t="shared" si="5"/>
        <v>8.0999999999999996E-3</v>
      </c>
      <c r="U34" s="30">
        <f>+$U$20</f>
        <v>285.19937499999997</v>
      </c>
      <c r="V34" s="30">
        <f>ROUND($V$18*$A34,2)</f>
        <v>23002.5</v>
      </c>
      <c r="W34" s="30">
        <f>SUM(U34:V34)</f>
        <v>23287.699375</v>
      </c>
      <c r="Y34" s="30">
        <f>+$Y$20</f>
        <v>334.8125</v>
      </c>
      <c r="Z34" s="30">
        <f>ROUND($Z$18*$A34,2)</f>
        <v>28266</v>
      </c>
      <c r="AA34" s="30">
        <f>SUM(Y34:Z34)</f>
        <v>28600.8125</v>
      </c>
      <c r="AB34" s="30">
        <f t="shared" si="6"/>
        <v>4384.0200000000004</v>
      </c>
      <c r="AC34" s="30">
        <f t="shared" si="7"/>
        <v>-464.25</v>
      </c>
    </row>
    <row r="35" spans="1:29" x14ac:dyDescent="0.25">
      <c r="K35" s="27"/>
      <c r="L35" s="27"/>
      <c r="M35" s="27"/>
      <c r="N35" s="27"/>
      <c r="O35" s="27"/>
      <c r="P35" s="27"/>
    </row>
    <row r="36" spans="1:29" x14ac:dyDescent="0.25">
      <c r="A36" s="26" t="s">
        <v>85</v>
      </c>
      <c r="C36" s="43"/>
      <c r="D36" s="44"/>
      <c r="E36" s="44"/>
      <c r="K36" s="28"/>
      <c r="L36" s="28"/>
      <c r="M36" s="29"/>
      <c r="N36" s="29"/>
      <c r="O36" s="29"/>
      <c r="P36" s="29"/>
    </row>
    <row r="37" spans="1:29" x14ac:dyDescent="0.25">
      <c r="A37" s="46" t="str">
        <f>("Forecast Period Average Usage = "&amp;ROUND(INPUT!D17,1)&amp;" Mcf per month")</f>
        <v>Forecast Period Average Usage = 33.7 Mcf per month</v>
      </c>
    </row>
    <row r="38" spans="1:29" x14ac:dyDescent="0.25">
      <c r="A38" s="47" t="s">
        <v>122</v>
      </c>
    </row>
    <row r="39" spans="1:29" x14ac:dyDescent="0.25">
      <c r="A39" s="60" t="str">
        <f>+'Rate Case Constants'!$C$26</f>
        <v>Calculations may vary from other schedules due to rounding</v>
      </c>
    </row>
    <row r="53" spans="11:11" ht="13" x14ac:dyDescent="0.3">
      <c r="K53" s="13"/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39"/>
  <sheetViews>
    <sheetView zoomScale="70" zoomScaleNormal="70" zoomScaleSheetLayoutView="80" workbookViewId="0">
      <selection sqref="A1:P1"/>
    </sheetView>
  </sheetViews>
  <sheetFormatPr defaultColWidth="9.1796875" defaultRowHeight="12.5" x14ac:dyDescent="0.25"/>
  <cols>
    <col min="1" max="1" width="9.26953125" style="26" bestFit="1" customWidth="1"/>
    <col min="2" max="2" width="2" style="26" customWidth="1"/>
    <col min="3" max="7" width="12" style="26" customWidth="1"/>
    <col min="8" max="8" width="12.1796875" style="26" bestFit="1" customWidth="1"/>
    <col min="9" max="10" width="12" style="26" customWidth="1"/>
    <col min="11" max="11" width="12.7265625" style="26" bestFit="1" customWidth="1"/>
    <col min="12" max="16" width="12" style="26" customWidth="1"/>
    <col min="17" max="20" width="4.81640625" style="26" customWidth="1"/>
    <col min="21" max="21" width="9.1796875" style="26"/>
    <col min="22" max="22" width="12" style="26" bestFit="1" customWidth="1"/>
    <col min="23" max="23" width="11.54296875" style="26" bestFit="1" customWidth="1"/>
    <col min="24" max="25" width="9.1796875" style="26"/>
    <col min="26" max="27" width="11.54296875" style="26" bestFit="1" customWidth="1"/>
    <col min="28" max="28" width="15.54296875" style="26" bestFit="1" customWidth="1"/>
    <col min="29" max="29" width="15.1796875" style="26" bestFit="1" customWidth="1"/>
    <col min="30" max="16384" width="9.1796875" style="26"/>
  </cols>
  <sheetData>
    <row r="1" spans="1:30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30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30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30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30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30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30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N7" s="74"/>
      <c r="O7" s="74"/>
      <c r="P7" s="74" t="str">
        <f>+'Rate Case Constants'!C25</f>
        <v>SCHEDULE N (Gas)</v>
      </c>
    </row>
    <row r="8" spans="1:30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5"/>
      <c r="O8" s="75"/>
      <c r="P8" s="75" t="str">
        <f>+'Rate Case Constants'!I11</f>
        <v>PAGE 4 OF 13</v>
      </c>
    </row>
    <row r="9" spans="1:30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4"/>
      <c r="O9" s="74"/>
      <c r="P9" s="74" t="str">
        <f>+'Rate Case Constants'!C36</f>
        <v>WITNESS:   R. M. CONROY</v>
      </c>
      <c r="V9" s="26" t="s">
        <v>171</v>
      </c>
    </row>
    <row r="10" spans="1:30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4"/>
      <c r="O10" s="84"/>
      <c r="P10" s="84"/>
      <c r="Q10" s="69"/>
      <c r="R10" s="69"/>
      <c r="S10" s="69"/>
      <c r="T10" s="69"/>
      <c r="U10" s="108" t="s">
        <v>26</v>
      </c>
      <c r="V10" s="54">
        <f>+INPUT!I45</f>
        <v>2.5172980955185529</v>
      </c>
      <c r="W10" s="27"/>
      <c r="X10" s="27"/>
      <c r="Y10" s="27"/>
      <c r="Z10" s="27"/>
      <c r="AA10" s="27"/>
      <c r="AB10" s="27"/>
      <c r="AC10" s="27"/>
      <c r="AD10" s="27"/>
    </row>
    <row r="11" spans="1:30" ht="13" x14ac:dyDescent="0.3">
      <c r="A11" s="80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9"/>
      <c r="R11" s="69"/>
      <c r="S11" s="69"/>
      <c r="T11" s="69"/>
      <c r="U11" s="108" t="s">
        <v>23</v>
      </c>
      <c r="V11" s="54">
        <f>+INPUT!J45</f>
        <v>0</v>
      </c>
      <c r="W11" s="12"/>
      <c r="X11" s="12"/>
      <c r="Y11" s="18"/>
      <c r="Z11" s="12"/>
      <c r="AA11" s="12"/>
      <c r="AB11" s="12"/>
      <c r="AC11" s="12"/>
      <c r="AD11" s="27"/>
    </row>
    <row r="12" spans="1:30" ht="13" x14ac:dyDescent="0.3">
      <c r="A12" s="12" t="s">
        <v>42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21" t="s">
        <v>27</v>
      </c>
      <c r="V12" s="54">
        <f>INPUT!O48</f>
        <v>0.23937948509060694</v>
      </c>
      <c r="W12" s="12"/>
      <c r="X12" s="12"/>
      <c r="Y12" s="12"/>
      <c r="Z12" s="12"/>
      <c r="AA12" s="12"/>
      <c r="AB12" s="12"/>
      <c r="AC12" s="12"/>
      <c r="AD12" s="27"/>
    </row>
    <row r="13" spans="1:30" ht="13" x14ac:dyDescent="0.3">
      <c r="A13" s="12"/>
      <c r="B13" s="12"/>
      <c r="C13" s="13" t="s">
        <v>68</v>
      </c>
      <c r="D13" s="14" t="s">
        <v>76</v>
      </c>
      <c r="E13" s="14" t="s">
        <v>69</v>
      </c>
      <c r="F13" s="14" t="s">
        <v>70</v>
      </c>
      <c r="G13" s="13" t="s">
        <v>71</v>
      </c>
      <c r="H13" s="13" t="s">
        <v>72</v>
      </c>
      <c r="I13" s="13" t="s">
        <v>77</v>
      </c>
      <c r="J13" s="14" t="s">
        <v>73</v>
      </c>
      <c r="K13" s="13" t="s">
        <v>74</v>
      </c>
      <c r="L13" s="13" t="s">
        <v>75</v>
      </c>
      <c r="M13" s="13" t="s">
        <v>139</v>
      </c>
      <c r="N13" s="13" t="s">
        <v>140</v>
      </c>
      <c r="O13" s="13" t="s">
        <v>141</v>
      </c>
      <c r="P13" s="13" t="s">
        <v>142</v>
      </c>
      <c r="U13" s="12"/>
      <c r="V13" s="12"/>
      <c r="W13" s="12"/>
      <c r="X13" s="12"/>
      <c r="AD13" s="27"/>
    </row>
    <row r="14" spans="1:30" ht="13" x14ac:dyDescent="0.3">
      <c r="A14" s="27"/>
      <c r="B14" s="27"/>
      <c r="C14" s="62" t="s">
        <v>92</v>
      </c>
      <c r="D14" s="62" t="s">
        <v>92</v>
      </c>
      <c r="E14" s="62" t="s">
        <v>27</v>
      </c>
      <c r="F14" s="27"/>
      <c r="G14" s="27"/>
      <c r="H14" s="27"/>
      <c r="I14" s="27"/>
      <c r="J14" s="27"/>
      <c r="K14" s="13" t="s">
        <v>18</v>
      </c>
      <c r="L14" s="13" t="s">
        <v>18</v>
      </c>
      <c r="M14" s="27"/>
      <c r="N14" s="13" t="s">
        <v>175</v>
      </c>
      <c r="O14" s="13" t="s">
        <v>18</v>
      </c>
      <c r="P14" s="13"/>
      <c r="U14" s="19" t="s">
        <v>0</v>
      </c>
      <c r="V14" s="19"/>
      <c r="W14" s="19"/>
      <c r="X14" s="27"/>
      <c r="Y14" s="19" t="s">
        <v>17</v>
      </c>
      <c r="Z14" s="19"/>
      <c r="AA14" s="19"/>
      <c r="AB14" s="137" t="s">
        <v>172</v>
      </c>
      <c r="AC14" s="19"/>
      <c r="AD14" s="27"/>
    </row>
    <row r="15" spans="1:30" ht="13" x14ac:dyDescent="0.3">
      <c r="A15" s="27"/>
      <c r="B15" s="27"/>
      <c r="C15" s="13" t="s">
        <v>13</v>
      </c>
      <c r="D15" s="13" t="s">
        <v>19</v>
      </c>
      <c r="E15" s="13" t="s">
        <v>152</v>
      </c>
      <c r="F15" s="13"/>
      <c r="G15" s="13"/>
      <c r="H15" s="148" t="s">
        <v>20</v>
      </c>
      <c r="I15" s="148"/>
      <c r="J15" s="149"/>
      <c r="K15" s="13" t="s">
        <v>13</v>
      </c>
      <c r="L15" s="13" t="s">
        <v>19</v>
      </c>
      <c r="M15" s="13"/>
      <c r="N15" s="13" t="s">
        <v>176</v>
      </c>
      <c r="O15" s="13" t="s">
        <v>19</v>
      </c>
      <c r="P15" s="13"/>
      <c r="U15" s="14" t="s">
        <v>29</v>
      </c>
      <c r="V15" s="13"/>
      <c r="W15" s="14"/>
      <c r="X15" s="27"/>
      <c r="Y15" s="14" t="s">
        <v>29</v>
      </c>
      <c r="Z15" s="13"/>
      <c r="AA15" s="14"/>
      <c r="AB15" s="14" t="s">
        <v>154</v>
      </c>
      <c r="AC15" s="14" t="s">
        <v>143</v>
      </c>
      <c r="AD15" s="27"/>
    </row>
    <row r="16" spans="1:30" ht="13" x14ac:dyDescent="0.3">
      <c r="A16" s="13"/>
      <c r="B16" s="13"/>
      <c r="C16" s="13" t="s">
        <v>21</v>
      </c>
      <c r="D16" s="13" t="s">
        <v>21</v>
      </c>
      <c r="E16" s="13" t="s">
        <v>153</v>
      </c>
      <c r="F16" s="13" t="s">
        <v>22</v>
      </c>
      <c r="G16" s="13" t="s">
        <v>22</v>
      </c>
      <c r="H16" s="13" t="s">
        <v>26</v>
      </c>
      <c r="I16" s="13" t="s">
        <v>23</v>
      </c>
      <c r="J16" s="13" t="s">
        <v>27</v>
      </c>
      <c r="K16" s="13" t="s">
        <v>21</v>
      </c>
      <c r="L16" s="13" t="s">
        <v>21</v>
      </c>
      <c r="M16" s="13" t="s">
        <v>22</v>
      </c>
      <c r="N16" s="13" t="s">
        <v>143</v>
      </c>
      <c r="O16" s="13" t="s">
        <v>144</v>
      </c>
      <c r="P16" s="13" t="s">
        <v>22</v>
      </c>
      <c r="U16" s="14" t="s">
        <v>30</v>
      </c>
      <c r="V16" s="13" t="s">
        <v>93</v>
      </c>
      <c r="W16" s="14" t="s">
        <v>18</v>
      </c>
      <c r="X16" s="27"/>
      <c r="Y16" s="14" t="s">
        <v>30</v>
      </c>
      <c r="Z16" s="13" t="s">
        <v>93</v>
      </c>
      <c r="AA16" s="14" t="s">
        <v>18</v>
      </c>
      <c r="AB16" s="14">
        <f>INPUT!O49</f>
        <v>0.51075362604005192</v>
      </c>
      <c r="AC16" s="14">
        <f>INPUT!E34</f>
        <v>-6.1899999999999997E-2</v>
      </c>
      <c r="AD16" s="27"/>
    </row>
    <row r="17" spans="1:30" ht="13" x14ac:dyDescent="0.3">
      <c r="A17" s="13" t="s">
        <v>123</v>
      </c>
      <c r="B17" s="13"/>
      <c r="C17" s="13"/>
      <c r="D17" s="13"/>
      <c r="E17" s="76"/>
      <c r="F17" s="13" t="s">
        <v>24</v>
      </c>
      <c r="G17" s="14" t="s">
        <v>25</v>
      </c>
      <c r="H17" s="15"/>
      <c r="I17" s="15"/>
      <c r="J17" s="16"/>
      <c r="K17" s="13" t="s">
        <v>24</v>
      </c>
      <c r="L17" s="13" t="s">
        <v>24</v>
      </c>
      <c r="M17" s="14" t="s">
        <v>25</v>
      </c>
      <c r="N17" s="77"/>
      <c r="O17" s="77" t="s">
        <v>143</v>
      </c>
      <c r="P17" s="77" t="s">
        <v>25</v>
      </c>
      <c r="U17" s="32" t="s">
        <v>31</v>
      </c>
      <c r="V17" s="33" t="s">
        <v>31</v>
      </c>
      <c r="W17" s="32" t="s">
        <v>21</v>
      </c>
      <c r="X17" s="27"/>
      <c r="Y17" s="32" t="s">
        <v>31</v>
      </c>
      <c r="Z17" s="33" t="s">
        <v>31</v>
      </c>
      <c r="AA17" s="32" t="s">
        <v>21</v>
      </c>
      <c r="AB17" s="114" t="s">
        <v>147</v>
      </c>
      <c r="AC17" s="114" t="s">
        <v>147</v>
      </c>
      <c r="AD17" s="27"/>
    </row>
    <row r="18" spans="1:30" ht="13" x14ac:dyDescent="0.3">
      <c r="A18" s="71"/>
      <c r="B18" s="71"/>
      <c r="C18" s="71"/>
      <c r="D18" s="71"/>
      <c r="E18" s="115"/>
      <c r="F18" s="116" t="str">
        <f>("[ "&amp;D13&amp;" - ("&amp;E13&amp;" + "&amp;C13&amp;") ]")</f>
        <v>[ B - (C + A) ]</v>
      </c>
      <c r="G18" s="116" t="str">
        <f>("[ "&amp;F13&amp;" / "&amp;C13&amp;" ]")</f>
        <v>[ D / A ]</v>
      </c>
      <c r="H18" s="117"/>
      <c r="I18" s="117"/>
      <c r="J18" s="117"/>
      <c r="K18" s="116" t="str">
        <f>("["&amp;C13&amp;"+"&amp;E13&amp;"+"&amp;$H$13&amp;"+"&amp;$I$13&amp;"+"&amp;$J$13&amp;"]")</f>
        <v>[A+C+F+G+H]</v>
      </c>
      <c r="L18" s="116" t="str">
        <f>("["&amp;D13&amp;"+"&amp;H13&amp;"+"&amp;I13&amp;"+"&amp;J13&amp;"]")</f>
        <v>[B+F+G+H]</v>
      </c>
      <c r="M18" s="115" t="str">
        <f>("[("&amp;L13&amp;" - "&amp;K13&amp;") / "&amp;K13&amp;"]")</f>
        <v>[(J - I) / I]</v>
      </c>
      <c r="N18" s="115"/>
      <c r="O18" s="115" t="s">
        <v>145</v>
      </c>
      <c r="P18" s="115" t="s">
        <v>146</v>
      </c>
      <c r="U18" s="14"/>
      <c r="V18" s="20">
        <f>+INPUT!$E$9</f>
        <v>2.1929000000000003</v>
      </c>
      <c r="W18" s="14"/>
      <c r="X18" s="27"/>
      <c r="Y18" s="14"/>
      <c r="Z18" s="20">
        <f>+INPUT!$E$27</f>
        <v>2.7023000000000001</v>
      </c>
      <c r="AA18" s="14"/>
      <c r="AB18" s="14"/>
      <c r="AC18" s="14"/>
      <c r="AD18" s="27"/>
    </row>
    <row r="19" spans="1:30" ht="13" x14ac:dyDescent="0.3">
      <c r="A19" s="13"/>
      <c r="B19" s="13"/>
      <c r="C19" s="13"/>
      <c r="D19" s="13"/>
      <c r="E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U19" s="14"/>
      <c r="V19" s="14" t="s">
        <v>94</v>
      </c>
      <c r="W19" s="14"/>
      <c r="X19" s="27"/>
      <c r="Y19" s="14"/>
      <c r="Z19" s="14" t="s">
        <v>94</v>
      </c>
      <c r="AA19" s="14"/>
      <c r="AB19" s="14"/>
      <c r="AC19" s="14"/>
      <c r="AD19" s="27"/>
    </row>
    <row r="20" spans="1:30" x14ac:dyDescent="0.25">
      <c r="A20" s="44">
        <v>25</v>
      </c>
      <c r="C20" s="28">
        <f>+W20</f>
        <v>219.79124999999999</v>
      </c>
      <c r="D20" s="28">
        <f>+AA20</f>
        <v>232.53125</v>
      </c>
      <c r="E20" s="28">
        <f>AB20</f>
        <v>12.77</v>
      </c>
      <c r="F20" s="28">
        <f>+D20-(E20+C20)</f>
        <v>-3.0000000000001137E-2</v>
      </c>
      <c r="G20" s="29">
        <f>ROUND(+F20/C20,4)</f>
        <v>-1E-4</v>
      </c>
      <c r="H20" s="28">
        <f>ROUND($A20*$V$10,2)</f>
        <v>62.93</v>
      </c>
      <c r="I20" s="28">
        <f>ROUND($A20*$V$11,2)</f>
        <v>0</v>
      </c>
      <c r="J20" s="28">
        <f>ROUND($V$12*A20,2)</f>
        <v>5.98</v>
      </c>
      <c r="K20" s="28">
        <f>+C20+E20+H20+I20+J20</f>
        <v>301.47125</v>
      </c>
      <c r="L20" s="28">
        <f>+D20+H20+I20+J20</f>
        <v>301.44125000000003</v>
      </c>
      <c r="M20" s="29">
        <f>ROUND((L20-K20)/K20,4)</f>
        <v>-1E-4</v>
      </c>
      <c r="N20" s="28">
        <f>AC20</f>
        <v>-1.55</v>
      </c>
      <c r="O20" s="28">
        <f>L20+N20</f>
        <v>299.89125000000001</v>
      </c>
      <c r="P20" s="29">
        <f>ROUND((O20-K20)/K20,4)</f>
        <v>-5.1999999999999998E-3</v>
      </c>
      <c r="U20" s="30">
        <f>+INPUT!$E$6</f>
        <v>164.97125</v>
      </c>
      <c r="V20" s="30">
        <f>ROUND($V$18*$A20,2)</f>
        <v>54.82</v>
      </c>
      <c r="W20" s="30">
        <f>SUM(U20:V20)</f>
        <v>219.79124999999999</v>
      </c>
      <c r="Y20" s="30">
        <f>+INPUT!$E$23</f>
        <v>164.97125</v>
      </c>
      <c r="Z20" s="30">
        <f>ROUND($Z$18*$A20,2)</f>
        <v>67.56</v>
      </c>
      <c r="AA20" s="30">
        <f>SUM(Y20:Z20)</f>
        <v>232.53125</v>
      </c>
      <c r="AB20" s="30">
        <f>ROUND($AB$16*A20,2)</f>
        <v>12.77</v>
      </c>
      <c r="AC20" s="30">
        <f>ROUND($AC$16*A20,2)</f>
        <v>-1.55</v>
      </c>
      <c r="AD20" s="93"/>
    </row>
    <row r="21" spans="1:30" x14ac:dyDescent="0.25">
      <c r="A21" s="44"/>
      <c r="C21" s="27"/>
      <c r="D21" s="27"/>
      <c r="E21" s="27"/>
      <c r="F21" s="28"/>
      <c r="K21" s="28"/>
      <c r="L21" s="27"/>
      <c r="M21" s="27"/>
      <c r="N21" s="27"/>
      <c r="O21" s="27"/>
      <c r="P21" s="27"/>
      <c r="AB21" s="30"/>
      <c r="AC21" s="30"/>
    </row>
    <row r="22" spans="1:30" x14ac:dyDescent="0.25">
      <c r="A22" s="44">
        <v>50</v>
      </c>
      <c r="C22" s="28">
        <f>+W22</f>
        <v>274.62125000000003</v>
      </c>
      <c r="D22" s="28">
        <f>+AA22</f>
        <v>300.09125</v>
      </c>
      <c r="E22" s="28">
        <f t="shared" ref="E22:E34" si="0">AB22</f>
        <v>25.54</v>
      </c>
      <c r="F22" s="28">
        <f t="shared" ref="F22:F34" si="1">+D22-(E22+C22)</f>
        <v>-7.0000000000050022E-2</v>
      </c>
      <c r="G22" s="64">
        <f>ROUND(+F22/C22,4)</f>
        <v>-2.9999999999999997E-4</v>
      </c>
      <c r="H22" s="31">
        <f>ROUND($A22*$V$10,2)</f>
        <v>125.86</v>
      </c>
      <c r="I22" s="31">
        <f>ROUND($A22*$V$11,2)</f>
        <v>0</v>
      </c>
      <c r="J22" s="28">
        <f>ROUND($V$12*A22,2)</f>
        <v>11.97</v>
      </c>
      <c r="K22" s="28">
        <f t="shared" ref="K22:K32" si="2">+C22+E22+H22+I22+J22</f>
        <v>437.99125000000009</v>
      </c>
      <c r="L22" s="31">
        <f>+D22+H22+I22+J22</f>
        <v>437.92125000000004</v>
      </c>
      <c r="M22" s="64">
        <f>ROUND((L22-K22)/K22,4)</f>
        <v>-2.0000000000000001E-4</v>
      </c>
      <c r="N22" s="28">
        <f t="shared" ref="N22:N34" si="3">AC22</f>
        <v>-3.1</v>
      </c>
      <c r="O22" s="28">
        <f t="shared" ref="O22:O34" si="4">L22+N22</f>
        <v>434.82125000000002</v>
      </c>
      <c r="P22" s="64">
        <f t="shared" ref="P22:P34" si="5">ROUND((O22-K22)/K22,4)</f>
        <v>-7.1999999999999998E-3</v>
      </c>
      <c r="U22" s="30">
        <f>+$U$20</f>
        <v>164.97125</v>
      </c>
      <c r="V22" s="30">
        <f>ROUND($V$18*$A22,2)</f>
        <v>109.65</v>
      </c>
      <c r="W22" s="30">
        <f>SUM(U22:V22)</f>
        <v>274.62125000000003</v>
      </c>
      <c r="Y22" s="30">
        <f>+$Y$20</f>
        <v>164.97125</v>
      </c>
      <c r="Z22" s="30">
        <f>ROUND($Z$18*$A22,2)</f>
        <v>135.12</v>
      </c>
      <c r="AA22" s="30">
        <f>SUM(Y22:Z22)</f>
        <v>300.09125</v>
      </c>
      <c r="AB22" s="30">
        <f t="shared" ref="AB22:AB34" si="6">ROUND($AB$16*A22,2)</f>
        <v>25.54</v>
      </c>
      <c r="AC22" s="30">
        <f t="shared" ref="AC22:AC34" si="7">ROUND($AC$16*A22,2)</f>
        <v>-3.1</v>
      </c>
      <c r="AD22" s="63"/>
    </row>
    <row r="23" spans="1:30" x14ac:dyDescent="0.25">
      <c r="A23" s="44"/>
      <c r="C23" s="28"/>
      <c r="D23" s="28"/>
      <c r="E23" s="28"/>
      <c r="F23" s="28"/>
      <c r="K23" s="28"/>
      <c r="L23" s="28"/>
      <c r="M23" s="29"/>
      <c r="N23" s="28"/>
      <c r="O23" s="28"/>
      <c r="P23" s="29"/>
      <c r="AB23" s="30"/>
      <c r="AC23" s="30"/>
    </row>
    <row r="24" spans="1:30" x14ac:dyDescent="0.25">
      <c r="A24" s="44">
        <v>100</v>
      </c>
      <c r="C24" s="28">
        <f>+W24</f>
        <v>384.26125000000002</v>
      </c>
      <c r="D24" s="28">
        <f>+AA24</f>
        <v>435.20125000000002</v>
      </c>
      <c r="E24" s="28">
        <f t="shared" si="0"/>
        <v>51.08</v>
      </c>
      <c r="F24" s="28">
        <f t="shared" si="1"/>
        <v>-0.13999999999998636</v>
      </c>
      <c r="G24" s="29">
        <f>ROUND(+F24/C24,4)</f>
        <v>-4.0000000000000002E-4</v>
      </c>
      <c r="H24" s="28">
        <f>ROUND($A24*$V$10,2)</f>
        <v>251.73</v>
      </c>
      <c r="I24" s="28">
        <f>ROUND($A24*$V$11,2)</f>
        <v>0</v>
      </c>
      <c r="J24" s="28">
        <f>ROUND($V$12*A24,2)</f>
        <v>23.94</v>
      </c>
      <c r="K24" s="28">
        <f t="shared" si="2"/>
        <v>711.01125000000002</v>
      </c>
      <c r="L24" s="28">
        <f>+D24+H24+I24+J24</f>
        <v>710.87125000000003</v>
      </c>
      <c r="M24" s="29">
        <f>ROUND((L24-K24)/K24,4)</f>
        <v>-2.0000000000000001E-4</v>
      </c>
      <c r="N24" s="28">
        <f t="shared" si="3"/>
        <v>-6.19</v>
      </c>
      <c r="O24" s="28">
        <f t="shared" si="4"/>
        <v>704.68124999999998</v>
      </c>
      <c r="P24" s="29">
        <f t="shared" si="5"/>
        <v>-8.8999999999999999E-3</v>
      </c>
      <c r="U24" s="30">
        <f>+$U$20</f>
        <v>164.97125</v>
      </c>
      <c r="V24" s="30">
        <f>ROUND($V$18*$A24,2)</f>
        <v>219.29</v>
      </c>
      <c r="W24" s="30">
        <f>SUM(U24:V24)</f>
        <v>384.26125000000002</v>
      </c>
      <c r="Y24" s="30">
        <f>+$Y$20</f>
        <v>164.97125</v>
      </c>
      <c r="Z24" s="30">
        <f>ROUND($Z$18*$A24,2)</f>
        <v>270.23</v>
      </c>
      <c r="AA24" s="30">
        <f>SUM(Y24:Z24)</f>
        <v>435.20125000000002</v>
      </c>
      <c r="AB24" s="30">
        <f t="shared" si="6"/>
        <v>51.08</v>
      </c>
      <c r="AC24" s="30">
        <f t="shared" si="7"/>
        <v>-6.19</v>
      </c>
    </row>
    <row r="25" spans="1:30" x14ac:dyDescent="0.25">
      <c r="A25" s="44"/>
      <c r="C25" s="27"/>
      <c r="D25" s="27"/>
      <c r="E25" s="27"/>
      <c r="F25" s="28"/>
      <c r="K25" s="28"/>
      <c r="L25" s="27"/>
      <c r="M25" s="27"/>
      <c r="N25" s="27"/>
      <c r="O25" s="27"/>
      <c r="P25" s="27"/>
      <c r="AB25" s="30"/>
      <c r="AC25" s="30"/>
    </row>
    <row r="26" spans="1:30" x14ac:dyDescent="0.25">
      <c r="A26" s="44">
        <v>500</v>
      </c>
      <c r="C26" s="31">
        <f>+W26</f>
        <v>1261.4212500000001</v>
      </c>
      <c r="D26" s="31">
        <f>+AA26</f>
        <v>1516.1212500000001</v>
      </c>
      <c r="E26" s="31">
        <f t="shared" si="0"/>
        <v>255.38</v>
      </c>
      <c r="F26" s="28">
        <f t="shared" si="1"/>
        <v>-0.67999999999983629</v>
      </c>
      <c r="G26" s="29">
        <f>ROUND(+F26/C26,4)</f>
        <v>-5.0000000000000001E-4</v>
      </c>
      <c r="H26" s="28">
        <f>ROUND($A26*$V$10,2)</f>
        <v>1258.6500000000001</v>
      </c>
      <c r="I26" s="28">
        <f>ROUND($A26*$V$11,2)</f>
        <v>0</v>
      </c>
      <c r="J26" s="28">
        <f>ROUND($V$12*A26,2)</f>
        <v>119.69</v>
      </c>
      <c r="K26" s="28">
        <f t="shared" si="2"/>
        <v>2895.1412500000001</v>
      </c>
      <c r="L26" s="28">
        <f>+D26+H26+I26+J26</f>
        <v>2894.4612500000003</v>
      </c>
      <c r="M26" s="29">
        <f>ROUND((L26-K26)/K26,4)</f>
        <v>-2.0000000000000001E-4</v>
      </c>
      <c r="N26" s="31">
        <f t="shared" si="3"/>
        <v>-30.95</v>
      </c>
      <c r="O26" s="31">
        <f t="shared" si="4"/>
        <v>2863.5112500000005</v>
      </c>
      <c r="P26" s="29">
        <f t="shared" si="5"/>
        <v>-1.09E-2</v>
      </c>
      <c r="U26" s="30">
        <f>+$U$20</f>
        <v>164.97125</v>
      </c>
      <c r="V26" s="30">
        <f>ROUND($V$18*$A26,2)</f>
        <v>1096.45</v>
      </c>
      <c r="W26" s="30">
        <f>SUM(U26:V26)</f>
        <v>1261.4212500000001</v>
      </c>
      <c r="Y26" s="30">
        <f>+$Y$20</f>
        <v>164.97125</v>
      </c>
      <c r="Z26" s="30">
        <f>ROUND($Z$18*$A26,2)</f>
        <v>1351.15</v>
      </c>
      <c r="AA26" s="30">
        <f>SUM(Y26:Z26)</f>
        <v>1516.1212500000001</v>
      </c>
      <c r="AB26" s="30">
        <f t="shared" si="6"/>
        <v>255.38</v>
      </c>
      <c r="AC26" s="30">
        <f t="shared" si="7"/>
        <v>-30.95</v>
      </c>
    </row>
    <row r="27" spans="1:30" x14ac:dyDescent="0.25">
      <c r="A27" s="44"/>
      <c r="C27" s="27"/>
      <c r="D27" s="27"/>
      <c r="E27" s="27"/>
      <c r="F27" s="28"/>
      <c r="K27" s="28"/>
      <c r="L27" s="27"/>
      <c r="M27" s="27"/>
      <c r="N27" s="27"/>
      <c r="O27" s="27"/>
      <c r="P27" s="27"/>
      <c r="AB27" s="30"/>
      <c r="AC27" s="30"/>
    </row>
    <row r="28" spans="1:30" x14ac:dyDescent="0.25">
      <c r="A28" s="44">
        <v>1000</v>
      </c>
      <c r="C28" s="28">
        <f>+W28</f>
        <v>2357.8712500000001</v>
      </c>
      <c r="D28" s="28">
        <f>+AA28</f>
        <v>2867.2712500000002</v>
      </c>
      <c r="E28" s="28">
        <f t="shared" si="0"/>
        <v>510.75</v>
      </c>
      <c r="F28" s="28">
        <f t="shared" si="1"/>
        <v>-1.3499999999999091</v>
      </c>
      <c r="G28" s="29">
        <f>ROUND(+F28/C28,4)</f>
        <v>-5.9999999999999995E-4</v>
      </c>
      <c r="H28" s="28">
        <f>ROUND($A28*$V$10,2)</f>
        <v>2517.3000000000002</v>
      </c>
      <c r="I28" s="28">
        <f>ROUND($A28*$V$11,2)</f>
        <v>0</v>
      </c>
      <c r="J28" s="28">
        <f>ROUND($V$12*A28,2)</f>
        <v>239.38</v>
      </c>
      <c r="K28" s="28">
        <f t="shared" si="2"/>
        <v>5625.3012500000004</v>
      </c>
      <c r="L28" s="28">
        <f>+D28+H28+I28+J28</f>
        <v>5623.951250000001</v>
      </c>
      <c r="M28" s="29">
        <f>ROUND((L28-K28)/K28,4)</f>
        <v>-2.0000000000000001E-4</v>
      </c>
      <c r="N28" s="28">
        <f t="shared" si="3"/>
        <v>-61.9</v>
      </c>
      <c r="O28" s="28">
        <f t="shared" si="4"/>
        <v>5562.0512500000013</v>
      </c>
      <c r="P28" s="29">
        <f t="shared" si="5"/>
        <v>-1.12E-2</v>
      </c>
      <c r="U28" s="30">
        <f>+$U$20</f>
        <v>164.97125</v>
      </c>
      <c r="V28" s="30">
        <f>ROUND($V$18*$A28,2)</f>
        <v>2192.9</v>
      </c>
      <c r="W28" s="30">
        <f>SUM(U28:V28)</f>
        <v>2357.8712500000001</v>
      </c>
      <c r="Y28" s="30">
        <f>+$Y$20</f>
        <v>164.97125</v>
      </c>
      <c r="Z28" s="30">
        <f>ROUND($Z$18*$A28,2)</f>
        <v>2702.3</v>
      </c>
      <c r="AA28" s="30">
        <f>SUM(Y28:Z28)</f>
        <v>2867.2712500000002</v>
      </c>
      <c r="AB28" s="30">
        <f t="shared" si="6"/>
        <v>510.75</v>
      </c>
      <c r="AC28" s="30">
        <f t="shared" si="7"/>
        <v>-61.9</v>
      </c>
    </row>
    <row r="29" spans="1:30" x14ac:dyDescent="0.25">
      <c r="A29" s="44"/>
      <c r="C29" s="27"/>
      <c r="D29" s="27"/>
      <c r="E29" s="27"/>
      <c r="F29" s="28"/>
      <c r="K29" s="28"/>
      <c r="L29" s="27"/>
      <c r="M29" s="27"/>
      <c r="N29" s="27"/>
      <c r="O29" s="27"/>
      <c r="P29" s="27"/>
      <c r="AB29" s="30"/>
      <c r="AC29" s="30"/>
    </row>
    <row r="30" spans="1:30" x14ac:dyDescent="0.25">
      <c r="A30" s="44">
        <v>2500</v>
      </c>
      <c r="C30" s="28">
        <f>+W30</f>
        <v>5647.2212499999996</v>
      </c>
      <c r="D30" s="28">
        <f>+AA30</f>
        <v>6920.7212499999996</v>
      </c>
      <c r="E30" s="28">
        <f t="shared" si="0"/>
        <v>1276.8800000000001</v>
      </c>
      <c r="F30" s="28">
        <f t="shared" si="1"/>
        <v>-3.3800000000001091</v>
      </c>
      <c r="G30" s="29">
        <f>ROUND(+F30/C30,4)</f>
        <v>-5.9999999999999995E-4</v>
      </c>
      <c r="H30" s="28">
        <f>ROUND($A30*$V$10,2)</f>
        <v>6293.25</v>
      </c>
      <c r="I30" s="28">
        <f>ROUND($A30*$V$11,2)</f>
        <v>0</v>
      </c>
      <c r="J30" s="28">
        <f>ROUND($V$12*A30,2)</f>
        <v>598.45000000000005</v>
      </c>
      <c r="K30" s="28">
        <f t="shared" si="2"/>
        <v>13815.80125</v>
      </c>
      <c r="L30" s="28">
        <f>+D30+H30+I30+J30</f>
        <v>13812.421249999999</v>
      </c>
      <c r="M30" s="29">
        <f>ROUND((L30-K30)/K30,4)</f>
        <v>-2.0000000000000001E-4</v>
      </c>
      <c r="N30" s="28">
        <f t="shared" si="3"/>
        <v>-154.75</v>
      </c>
      <c r="O30" s="28">
        <f t="shared" si="4"/>
        <v>13657.671249999999</v>
      </c>
      <c r="P30" s="29">
        <f t="shared" si="5"/>
        <v>-1.14E-2</v>
      </c>
      <c r="U30" s="30">
        <f>+$U$20</f>
        <v>164.97125</v>
      </c>
      <c r="V30" s="30">
        <f>ROUND($V$18*$A30,2)</f>
        <v>5482.25</v>
      </c>
      <c r="W30" s="30">
        <f>SUM(U30:V30)</f>
        <v>5647.2212499999996</v>
      </c>
      <c r="Y30" s="30">
        <f>+$Y$20</f>
        <v>164.97125</v>
      </c>
      <c r="Z30" s="30">
        <f>ROUND($Z$18*$A30,2)</f>
        <v>6755.75</v>
      </c>
      <c r="AA30" s="30">
        <f>SUM(Y30:Z30)</f>
        <v>6920.7212499999996</v>
      </c>
      <c r="AB30" s="30">
        <f t="shared" si="6"/>
        <v>1276.8800000000001</v>
      </c>
      <c r="AC30" s="30">
        <f t="shared" si="7"/>
        <v>-154.75</v>
      </c>
    </row>
    <row r="31" spans="1:30" x14ac:dyDescent="0.25">
      <c r="A31" s="44"/>
      <c r="C31" s="27"/>
      <c r="D31" s="27"/>
      <c r="E31" s="27"/>
      <c r="F31" s="28"/>
      <c r="K31" s="28"/>
      <c r="L31" s="27"/>
      <c r="M31" s="27"/>
      <c r="N31" s="27"/>
      <c r="O31" s="27"/>
      <c r="P31" s="27"/>
      <c r="AB31" s="30"/>
      <c r="AC31" s="30"/>
    </row>
    <row r="32" spans="1:30" x14ac:dyDescent="0.25">
      <c r="A32" s="44">
        <v>5000</v>
      </c>
      <c r="C32" s="28">
        <f>+W32</f>
        <v>11129.471250000001</v>
      </c>
      <c r="D32" s="28">
        <f>+AA32</f>
        <v>13676.471250000001</v>
      </c>
      <c r="E32" s="28">
        <f t="shared" si="0"/>
        <v>2553.77</v>
      </c>
      <c r="F32" s="28">
        <f t="shared" si="1"/>
        <v>-6.7700000000004366</v>
      </c>
      <c r="G32" s="29">
        <f>ROUND(+F32/C32,4)</f>
        <v>-5.9999999999999995E-4</v>
      </c>
      <c r="H32" s="28">
        <f>ROUND($A32*$V$10,2)</f>
        <v>12586.49</v>
      </c>
      <c r="I32" s="28">
        <f>ROUND($A32*$V$11,2)</f>
        <v>0</v>
      </c>
      <c r="J32" s="28">
        <f>ROUND($V$12*A32,2)</f>
        <v>1196.9000000000001</v>
      </c>
      <c r="K32" s="28">
        <f t="shared" si="2"/>
        <v>27466.631250000002</v>
      </c>
      <c r="L32" s="28">
        <f>+D32+H32+I32+J32</f>
        <v>27459.861250000002</v>
      </c>
      <c r="M32" s="29">
        <f>ROUND((L32-K32)/K32,4)</f>
        <v>-2.0000000000000001E-4</v>
      </c>
      <c r="N32" s="28">
        <f t="shared" si="3"/>
        <v>-309.5</v>
      </c>
      <c r="O32" s="28">
        <f t="shared" si="4"/>
        <v>27150.361250000002</v>
      </c>
      <c r="P32" s="29">
        <f t="shared" si="5"/>
        <v>-1.15E-2</v>
      </c>
      <c r="U32" s="30">
        <f>+$U$20</f>
        <v>164.97125</v>
      </c>
      <c r="V32" s="30">
        <f>ROUND($V$18*$A32,2)</f>
        <v>10964.5</v>
      </c>
      <c r="W32" s="30">
        <f>SUM(U32:V32)</f>
        <v>11129.471250000001</v>
      </c>
      <c r="Y32" s="30">
        <f>+$Y$20</f>
        <v>164.97125</v>
      </c>
      <c r="Z32" s="30">
        <f>ROUND($Z$18*$A32,2)</f>
        <v>13511.5</v>
      </c>
      <c r="AA32" s="30">
        <f>SUM(Y32:Z32)</f>
        <v>13676.471250000001</v>
      </c>
      <c r="AB32" s="30">
        <f t="shared" si="6"/>
        <v>2553.77</v>
      </c>
      <c r="AC32" s="30">
        <f t="shared" si="7"/>
        <v>-309.5</v>
      </c>
    </row>
    <row r="33" spans="1:29" x14ac:dyDescent="0.25">
      <c r="A33" s="44"/>
      <c r="C33" s="27"/>
      <c r="D33" s="27"/>
      <c r="E33" s="27"/>
      <c r="F33" s="28"/>
      <c r="K33" s="28"/>
      <c r="L33" s="27"/>
      <c r="M33" s="27"/>
      <c r="N33" s="27"/>
      <c r="O33" s="27"/>
      <c r="P33" s="27"/>
      <c r="AB33" s="30"/>
      <c r="AC33" s="30"/>
    </row>
    <row r="34" spans="1:29" x14ac:dyDescent="0.25">
      <c r="A34" s="44">
        <v>7500</v>
      </c>
      <c r="C34" s="28">
        <f>+W34</f>
        <v>16611.721249999999</v>
      </c>
      <c r="D34" s="28">
        <f>+AA34</f>
        <v>20432.221249999999</v>
      </c>
      <c r="E34" s="28">
        <f t="shared" si="0"/>
        <v>3830.65</v>
      </c>
      <c r="F34" s="28">
        <f t="shared" si="1"/>
        <v>-10.150000000001455</v>
      </c>
      <c r="G34" s="29">
        <f>ROUND(+F34/C34,4)</f>
        <v>-5.9999999999999995E-4</v>
      </c>
      <c r="H34" s="28">
        <f>ROUND($A34*$V$10,2)</f>
        <v>18879.740000000002</v>
      </c>
      <c r="I34" s="28">
        <f>ROUND($A34*$V$11,2)</f>
        <v>0</v>
      </c>
      <c r="J34" s="28">
        <f>ROUND($V$12*A34,2)</f>
        <v>1795.35</v>
      </c>
      <c r="K34" s="28">
        <f>+C34+E34+H34+I34+J34</f>
        <v>41117.46125</v>
      </c>
      <c r="L34" s="28">
        <f>+D34+H34+I34+J34</f>
        <v>41107.311249999999</v>
      </c>
      <c r="M34" s="29">
        <f>ROUND((L34-K34)/K34,4)</f>
        <v>-2.0000000000000001E-4</v>
      </c>
      <c r="N34" s="28">
        <f t="shared" si="3"/>
        <v>-464.25</v>
      </c>
      <c r="O34" s="28">
        <f t="shared" si="4"/>
        <v>40643.061249999999</v>
      </c>
      <c r="P34" s="29">
        <f t="shared" si="5"/>
        <v>-1.15E-2</v>
      </c>
      <c r="U34" s="30">
        <f>+$U$20</f>
        <v>164.97125</v>
      </c>
      <c r="V34" s="30">
        <f>ROUND($V$18*$A34,2)</f>
        <v>16446.75</v>
      </c>
      <c r="W34" s="30">
        <f>SUM(U34:V34)</f>
        <v>16611.721249999999</v>
      </c>
      <c r="Y34" s="30">
        <f>+$Y$20</f>
        <v>164.97125</v>
      </c>
      <c r="Z34" s="30">
        <f>ROUND($Z$18*$A34,2)</f>
        <v>20267.25</v>
      </c>
      <c r="AA34" s="30">
        <f>SUM(Y34:Z34)</f>
        <v>20432.221249999999</v>
      </c>
      <c r="AB34" s="30">
        <f t="shared" si="6"/>
        <v>3830.65</v>
      </c>
      <c r="AC34" s="30">
        <f t="shared" si="7"/>
        <v>-464.25</v>
      </c>
    </row>
    <row r="35" spans="1:29" x14ac:dyDescent="0.25">
      <c r="K35" s="27"/>
      <c r="L35" s="27"/>
      <c r="M35" s="27"/>
      <c r="N35" s="27"/>
      <c r="O35" s="27"/>
      <c r="P35" s="27"/>
    </row>
    <row r="36" spans="1:29" x14ac:dyDescent="0.25">
      <c r="A36" s="26" t="s">
        <v>85</v>
      </c>
      <c r="C36" s="43"/>
      <c r="D36" s="44"/>
      <c r="E36" s="44"/>
      <c r="K36" s="28"/>
      <c r="L36" s="28"/>
      <c r="M36" s="29"/>
      <c r="N36" s="29"/>
      <c r="O36" s="29"/>
      <c r="P36" s="29"/>
    </row>
    <row r="37" spans="1:29" x14ac:dyDescent="0.25">
      <c r="A37" s="46" t="str">
        <f>("Forecast Period Average Usage = "&amp;ROUND(INPUT!E17,1)&amp;" Mcf per month")</f>
        <v>Forecast Period Average Usage = 558.8 Mcf per month</v>
      </c>
    </row>
    <row r="38" spans="1:29" x14ac:dyDescent="0.25">
      <c r="A38" s="47" t="s">
        <v>122</v>
      </c>
    </row>
    <row r="39" spans="1:29" x14ac:dyDescent="0.25">
      <c r="A39" s="60" t="str">
        <f>+'Rate Case Constants'!$C$26</f>
        <v>Calculations may vary from other schedules due to rounding</v>
      </c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9"/>
  <sheetViews>
    <sheetView zoomScale="70" zoomScaleNormal="70" zoomScaleSheetLayoutView="80" workbookViewId="0">
      <selection sqref="A1:P1"/>
    </sheetView>
  </sheetViews>
  <sheetFormatPr defaultColWidth="9.1796875" defaultRowHeight="12.5" x14ac:dyDescent="0.25"/>
  <cols>
    <col min="1" max="1" width="9.26953125" style="26" bestFit="1" customWidth="1"/>
    <col min="2" max="2" width="2" style="26" customWidth="1"/>
    <col min="3" max="7" width="12" style="26" customWidth="1"/>
    <col min="8" max="8" width="12.1796875" style="26" bestFit="1" customWidth="1"/>
    <col min="9" max="10" width="12" style="26" customWidth="1"/>
    <col min="11" max="11" width="12.7265625" style="26" bestFit="1" customWidth="1"/>
    <col min="12" max="16" width="12" style="26" customWidth="1"/>
    <col min="17" max="20" width="3.1796875" style="26" customWidth="1"/>
    <col min="21" max="21" width="9.1796875" style="26"/>
    <col min="22" max="22" width="13.26953125" style="26" bestFit="1" customWidth="1"/>
    <col min="23" max="23" width="11.54296875" style="26" bestFit="1" customWidth="1"/>
    <col min="24" max="25" width="9.1796875" style="26"/>
    <col min="26" max="27" width="11.54296875" style="26" bestFit="1" customWidth="1"/>
    <col min="28" max="28" width="15.54296875" style="26" bestFit="1" customWidth="1"/>
    <col min="29" max="29" width="15.1796875" style="26" bestFit="1" customWidth="1"/>
    <col min="30" max="16384" width="9.1796875" style="26"/>
  </cols>
  <sheetData>
    <row r="1" spans="1:29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29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29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29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9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29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9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N7" s="74"/>
      <c r="O7" s="74"/>
      <c r="P7" s="74" t="str">
        <f>+'Rate Case Constants'!C25</f>
        <v>SCHEDULE N (Gas)</v>
      </c>
    </row>
    <row r="8" spans="1:29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5"/>
      <c r="O8" s="75"/>
      <c r="P8" s="75" t="str">
        <f>+'Rate Case Constants'!I12</f>
        <v>PAGE 5 OF 13</v>
      </c>
    </row>
    <row r="9" spans="1:29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4"/>
      <c r="O9" s="74"/>
      <c r="P9" s="74" t="str">
        <f>+'Rate Case Constants'!C36</f>
        <v>WITNESS:   R. M. CONROY</v>
      </c>
      <c r="V9" s="26" t="s">
        <v>171</v>
      </c>
    </row>
    <row r="10" spans="1:29" ht="13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85"/>
      <c r="N10" s="85"/>
      <c r="O10" s="85"/>
      <c r="P10" s="85"/>
      <c r="Q10" s="69"/>
      <c r="R10" s="69"/>
      <c r="S10" s="69"/>
      <c r="T10" s="69"/>
      <c r="U10" s="108" t="s">
        <v>26</v>
      </c>
      <c r="V10" s="54">
        <f>+INPUT!$I$45</f>
        <v>2.5172980955185529</v>
      </c>
      <c r="W10" s="27"/>
      <c r="X10" s="27"/>
      <c r="Y10" s="27"/>
      <c r="Z10" s="27"/>
      <c r="AA10" s="27"/>
    </row>
    <row r="11" spans="1:29" ht="13" x14ac:dyDescent="0.3">
      <c r="A11" s="80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9"/>
      <c r="R11" s="69"/>
      <c r="S11" s="69"/>
      <c r="T11" s="69"/>
      <c r="U11" s="108" t="s">
        <v>23</v>
      </c>
      <c r="V11" s="54">
        <f>+INPUT!$J$45</f>
        <v>0</v>
      </c>
      <c r="W11" s="12"/>
      <c r="X11" s="12"/>
      <c r="Y11" s="18"/>
      <c r="Z11" s="12"/>
      <c r="AA11" s="12"/>
    </row>
    <row r="12" spans="1:29" ht="13" x14ac:dyDescent="0.3">
      <c r="A12" s="12" t="s">
        <v>43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21" t="s">
        <v>27</v>
      </c>
      <c r="V12" s="54">
        <f>INPUT!O48</f>
        <v>0.23937948509060694</v>
      </c>
      <c r="W12" s="12"/>
      <c r="X12" s="12"/>
      <c r="Y12" s="12"/>
      <c r="Z12" s="12"/>
      <c r="AA12" s="12"/>
    </row>
    <row r="13" spans="1:29" ht="13" x14ac:dyDescent="0.3">
      <c r="A13" s="12"/>
      <c r="B13" s="12"/>
      <c r="C13" s="13" t="s">
        <v>68</v>
      </c>
      <c r="D13" s="14" t="s">
        <v>76</v>
      </c>
      <c r="E13" s="14" t="s">
        <v>69</v>
      </c>
      <c r="F13" s="14" t="s">
        <v>70</v>
      </c>
      <c r="G13" s="13" t="s">
        <v>71</v>
      </c>
      <c r="H13" s="13" t="s">
        <v>72</v>
      </c>
      <c r="I13" s="13" t="s">
        <v>77</v>
      </c>
      <c r="J13" s="14" t="s">
        <v>73</v>
      </c>
      <c r="K13" s="13" t="s">
        <v>74</v>
      </c>
      <c r="L13" s="13" t="s">
        <v>75</v>
      </c>
      <c r="M13" s="13" t="s">
        <v>139</v>
      </c>
      <c r="N13" s="13" t="s">
        <v>140</v>
      </c>
      <c r="O13" s="13" t="s">
        <v>141</v>
      </c>
      <c r="P13" s="13" t="s">
        <v>142</v>
      </c>
      <c r="U13" s="12"/>
      <c r="V13" s="12"/>
      <c r="W13" s="12"/>
      <c r="X13" s="12"/>
    </row>
    <row r="14" spans="1:29" ht="13" x14ac:dyDescent="0.3">
      <c r="A14" s="27"/>
      <c r="B14" s="27"/>
      <c r="C14" s="62" t="s">
        <v>92</v>
      </c>
      <c r="D14" s="62" t="s">
        <v>92</v>
      </c>
      <c r="E14" s="62" t="s">
        <v>27</v>
      </c>
      <c r="F14" s="27"/>
      <c r="G14" s="27"/>
      <c r="H14" s="27"/>
      <c r="I14" s="27"/>
      <c r="J14" s="27"/>
      <c r="K14" s="13" t="s">
        <v>18</v>
      </c>
      <c r="L14" s="13" t="s">
        <v>18</v>
      </c>
      <c r="M14" s="27"/>
      <c r="N14" s="13" t="s">
        <v>175</v>
      </c>
      <c r="O14" s="13" t="s">
        <v>18</v>
      </c>
      <c r="P14" s="13"/>
      <c r="U14" s="19" t="s">
        <v>0</v>
      </c>
      <c r="V14" s="19"/>
      <c r="W14" s="19"/>
      <c r="X14" s="27"/>
      <c r="Y14" s="19" t="s">
        <v>17</v>
      </c>
      <c r="Z14" s="19"/>
      <c r="AA14" s="19"/>
      <c r="AB14" s="137" t="s">
        <v>172</v>
      </c>
      <c r="AC14" s="19"/>
    </row>
    <row r="15" spans="1:29" ht="13" x14ac:dyDescent="0.3">
      <c r="A15" s="27"/>
      <c r="B15" s="27"/>
      <c r="C15" s="13" t="s">
        <v>13</v>
      </c>
      <c r="D15" s="13" t="s">
        <v>19</v>
      </c>
      <c r="E15" s="13" t="s">
        <v>152</v>
      </c>
      <c r="F15" s="13"/>
      <c r="G15" s="13"/>
      <c r="H15" s="148" t="s">
        <v>20</v>
      </c>
      <c r="I15" s="148"/>
      <c r="J15" s="149"/>
      <c r="K15" s="13" t="s">
        <v>13</v>
      </c>
      <c r="L15" s="13" t="s">
        <v>19</v>
      </c>
      <c r="M15" s="13"/>
      <c r="N15" s="13" t="s">
        <v>176</v>
      </c>
      <c r="O15" s="13" t="s">
        <v>19</v>
      </c>
      <c r="P15" s="13"/>
      <c r="U15" s="14" t="s">
        <v>29</v>
      </c>
      <c r="V15" s="13"/>
      <c r="W15" s="14"/>
      <c r="X15" s="27"/>
      <c r="Y15" s="14" t="s">
        <v>29</v>
      </c>
      <c r="Z15" s="13"/>
      <c r="AA15" s="14"/>
      <c r="AB15" s="14" t="s">
        <v>154</v>
      </c>
      <c r="AC15" s="14" t="s">
        <v>143</v>
      </c>
    </row>
    <row r="16" spans="1:29" ht="13" x14ac:dyDescent="0.3">
      <c r="A16" s="13"/>
      <c r="B16" s="13"/>
      <c r="C16" s="13" t="s">
        <v>21</v>
      </c>
      <c r="D16" s="13" t="s">
        <v>21</v>
      </c>
      <c r="E16" s="13" t="s">
        <v>153</v>
      </c>
      <c r="F16" s="13" t="s">
        <v>22</v>
      </c>
      <c r="G16" s="13" t="s">
        <v>22</v>
      </c>
      <c r="H16" s="13" t="s">
        <v>26</v>
      </c>
      <c r="I16" s="13" t="s">
        <v>23</v>
      </c>
      <c r="J16" s="13" t="s">
        <v>27</v>
      </c>
      <c r="K16" s="13" t="s">
        <v>21</v>
      </c>
      <c r="L16" s="13" t="s">
        <v>21</v>
      </c>
      <c r="M16" s="13" t="s">
        <v>22</v>
      </c>
      <c r="N16" s="13" t="s">
        <v>143</v>
      </c>
      <c r="O16" s="13" t="s">
        <v>144</v>
      </c>
      <c r="P16" s="13" t="s">
        <v>22</v>
      </c>
      <c r="U16" s="14" t="s">
        <v>30</v>
      </c>
      <c r="V16" s="13" t="s">
        <v>93</v>
      </c>
      <c r="W16" s="14" t="s">
        <v>18</v>
      </c>
      <c r="X16" s="27"/>
      <c r="Y16" s="14" t="s">
        <v>30</v>
      </c>
      <c r="Z16" s="13" t="s">
        <v>93</v>
      </c>
      <c r="AA16" s="14" t="s">
        <v>18</v>
      </c>
      <c r="AB16" s="14">
        <f>INPUT!O49</f>
        <v>0.51075362604005192</v>
      </c>
      <c r="AC16" s="14">
        <f>INPUT!E34</f>
        <v>-6.1899999999999997E-2</v>
      </c>
    </row>
    <row r="17" spans="1:29" ht="13" x14ac:dyDescent="0.3">
      <c r="A17" s="13" t="s">
        <v>123</v>
      </c>
      <c r="B17" s="13"/>
      <c r="C17" s="13"/>
      <c r="D17" s="13"/>
      <c r="E17" s="76"/>
      <c r="F17" s="13" t="s">
        <v>24</v>
      </c>
      <c r="G17" s="14" t="s">
        <v>25</v>
      </c>
      <c r="H17" s="15"/>
      <c r="I17" s="15"/>
      <c r="J17" s="16"/>
      <c r="K17" s="13" t="s">
        <v>24</v>
      </c>
      <c r="L17" s="13" t="s">
        <v>24</v>
      </c>
      <c r="M17" s="14" t="s">
        <v>25</v>
      </c>
      <c r="N17" s="77"/>
      <c r="O17" s="77" t="s">
        <v>143</v>
      </c>
      <c r="P17" s="77" t="s">
        <v>25</v>
      </c>
      <c r="U17" s="32" t="s">
        <v>31</v>
      </c>
      <c r="V17" s="33" t="s">
        <v>31</v>
      </c>
      <c r="W17" s="32" t="s">
        <v>21</v>
      </c>
      <c r="X17" s="27"/>
      <c r="Y17" s="32" t="s">
        <v>31</v>
      </c>
      <c r="Z17" s="33" t="s">
        <v>31</v>
      </c>
      <c r="AA17" s="32" t="s">
        <v>21</v>
      </c>
      <c r="AB17" s="114" t="s">
        <v>147</v>
      </c>
      <c r="AC17" s="114" t="s">
        <v>147</v>
      </c>
    </row>
    <row r="18" spans="1:29" ht="13" x14ac:dyDescent="0.3">
      <c r="A18" s="71"/>
      <c r="B18" s="71"/>
      <c r="C18" s="71"/>
      <c r="D18" s="71"/>
      <c r="E18" s="115"/>
      <c r="F18" s="116" t="str">
        <f>("[ "&amp;D13&amp;" - ("&amp;E13&amp;" + "&amp;C13&amp;") ]")</f>
        <v>[ B - (C + A) ]</v>
      </c>
      <c r="G18" s="116" t="str">
        <f>("[ "&amp;F13&amp;" / "&amp;C13&amp;" ]")</f>
        <v>[ D / A ]</v>
      </c>
      <c r="H18" s="117"/>
      <c r="I18" s="117"/>
      <c r="J18" s="117"/>
      <c r="K18" s="116" t="str">
        <f>("["&amp;C13&amp;"+"&amp;E13&amp;"+"&amp;$H$13&amp;"+"&amp;$I$13&amp;"+"&amp;$J$13&amp;"]")</f>
        <v>[A+C+F+G+H]</v>
      </c>
      <c r="L18" s="116" t="str">
        <f>("["&amp;D13&amp;"+"&amp;H13&amp;"+"&amp;I13&amp;"+"&amp;J13&amp;"]")</f>
        <v>[B+F+G+H]</v>
      </c>
      <c r="M18" s="115" t="str">
        <f>("[("&amp;L13&amp;" - "&amp;K13&amp;") / "&amp;K13&amp;"]")</f>
        <v>[(J - I) / I]</v>
      </c>
      <c r="N18" s="115"/>
      <c r="O18" s="115" t="s">
        <v>145</v>
      </c>
      <c r="P18" s="115" t="s">
        <v>146</v>
      </c>
      <c r="U18" s="14"/>
      <c r="V18" s="20">
        <f>+INPUT!$E$9</f>
        <v>2.1929000000000003</v>
      </c>
      <c r="W18" s="14"/>
      <c r="X18" s="27"/>
      <c r="Y18" s="14"/>
      <c r="Z18" s="20">
        <f>+INPUT!$E$27</f>
        <v>2.7023000000000001</v>
      </c>
      <c r="AA18" s="14"/>
      <c r="AB18" s="14"/>
      <c r="AC18" s="14"/>
    </row>
    <row r="19" spans="1:29" ht="13" x14ac:dyDescent="0.3">
      <c r="A19" s="13"/>
      <c r="B19" s="13"/>
      <c r="C19" s="13"/>
      <c r="D19" s="13"/>
      <c r="E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U19" s="14"/>
      <c r="V19" s="14" t="s">
        <v>94</v>
      </c>
      <c r="W19" s="14"/>
      <c r="X19" s="27"/>
      <c r="Y19" s="14"/>
      <c r="Z19" s="14" t="s">
        <v>94</v>
      </c>
      <c r="AA19" s="14"/>
      <c r="AB19" s="14"/>
      <c r="AC19" s="14"/>
    </row>
    <row r="20" spans="1:29" x14ac:dyDescent="0.25">
      <c r="A20" s="44">
        <v>25</v>
      </c>
      <c r="C20" s="28">
        <f>+W20</f>
        <v>804.80000000000007</v>
      </c>
      <c r="D20" s="28">
        <f>+AA20</f>
        <v>817.54</v>
      </c>
      <c r="E20" s="28">
        <f>AB20</f>
        <v>12.77</v>
      </c>
      <c r="F20" s="28">
        <f>+D20-(E20+C20)</f>
        <v>-3.0000000000086402E-2</v>
      </c>
      <c r="G20" s="29">
        <f>ROUND(+F20/C20,4)</f>
        <v>0</v>
      </c>
      <c r="H20" s="28">
        <f>ROUND($A20*$V$10,2)</f>
        <v>62.93</v>
      </c>
      <c r="I20" s="28">
        <f>ROUND($A20*$V$11,2)</f>
        <v>0</v>
      </c>
      <c r="J20" s="28">
        <f>ROUND($V$12*A20,2)</f>
        <v>5.98</v>
      </c>
      <c r="K20" s="28">
        <f>+C20+E20+H20+I20+J20</f>
        <v>886.48</v>
      </c>
      <c r="L20" s="28">
        <f>+D20+H20+I20+J20</f>
        <v>886.44999999999993</v>
      </c>
      <c r="M20" s="29">
        <f>ROUND((L20-K20)/K20,4)</f>
        <v>0</v>
      </c>
      <c r="N20" s="28">
        <f>AC20</f>
        <v>-1.55</v>
      </c>
      <c r="O20" s="28">
        <f>L20+N20</f>
        <v>884.9</v>
      </c>
      <c r="P20" s="29">
        <f>ROUND((O20-K20)/K20,4)</f>
        <v>-1.8E-3</v>
      </c>
      <c r="U20" s="30">
        <f>+INPUT!$E$7</f>
        <v>749.98</v>
      </c>
      <c r="V20" s="30">
        <f>ROUND($V$18*$A20,2)</f>
        <v>54.82</v>
      </c>
      <c r="W20" s="30">
        <f>SUM(U20:V20)</f>
        <v>804.80000000000007</v>
      </c>
      <c r="Y20" s="30">
        <f>+INPUT!$E$24</f>
        <v>749.98</v>
      </c>
      <c r="Z20" s="30">
        <f>ROUND($Z$18*$A20,2)</f>
        <v>67.56</v>
      </c>
      <c r="AA20" s="30">
        <f>SUM(Y20:Z20)</f>
        <v>817.54</v>
      </c>
      <c r="AB20" s="30">
        <f>ROUND($AB$16*A20,2)</f>
        <v>12.77</v>
      </c>
      <c r="AC20" s="30">
        <f>ROUND($AC$16*A20,2)</f>
        <v>-1.55</v>
      </c>
    </row>
    <row r="21" spans="1:29" x14ac:dyDescent="0.25">
      <c r="A21" s="44"/>
      <c r="C21" s="27"/>
      <c r="D21" s="27"/>
      <c r="E21" s="27"/>
      <c r="F21" s="28"/>
      <c r="K21" s="28"/>
      <c r="L21" s="27"/>
      <c r="M21" s="27"/>
      <c r="N21" s="27"/>
      <c r="O21" s="27"/>
      <c r="P21" s="27"/>
      <c r="AB21" s="30"/>
      <c r="AC21" s="30"/>
    </row>
    <row r="22" spans="1:29" x14ac:dyDescent="0.25">
      <c r="A22" s="44">
        <v>50</v>
      </c>
      <c r="C22" s="28">
        <f>+W22</f>
        <v>859.63</v>
      </c>
      <c r="D22" s="28">
        <f>+AA22</f>
        <v>885.1</v>
      </c>
      <c r="E22" s="28">
        <f t="shared" ref="E22:E34" si="0">AB22</f>
        <v>25.54</v>
      </c>
      <c r="F22" s="28">
        <f t="shared" ref="F22:F34" si="1">+D22-(E22+C22)</f>
        <v>-6.9999999999936335E-2</v>
      </c>
      <c r="G22" s="64">
        <f>ROUND(+F22/C22,4)</f>
        <v>-1E-4</v>
      </c>
      <c r="H22" s="31">
        <f>ROUND($A22*$V$10,2)</f>
        <v>125.86</v>
      </c>
      <c r="I22" s="31">
        <f>ROUND($A22*$V$11,2)</f>
        <v>0</v>
      </c>
      <c r="J22" s="28">
        <f>ROUND($V$12*A22,2)</f>
        <v>11.97</v>
      </c>
      <c r="K22" s="28">
        <f t="shared" ref="K22:K34" si="2">+C22+E22+H22+I22+J22</f>
        <v>1023</v>
      </c>
      <c r="L22" s="31">
        <f>+D22+H22+I22+J22</f>
        <v>1022.9300000000001</v>
      </c>
      <c r="M22" s="64">
        <f>ROUND((L22-K22)/K22,4)</f>
        <v>-1E-4</v>
      </c>
      <c r="N22" s="28">
        <f t="shared" ref="N22:N34" si="3">AC22</f>
        <v>-3.1</v>
      </c>
      <c r="O22" s="28">
        <f t="shared" ref="O22:O34" si="4">L22+N22</f>
        <v>1019.83</v>
      </c>
      <c r="P22" s="64">
        <f t="shared" ref="P22:P34" si="5">ROUND((O22-K22)/K22,4)</f>
        <v>-3.0999999999999999E-3</v>
      </c>
      <c r="U22" s="30">
        <f>+$U$20</f>
        <v>749.98</v>
      </c>
      <c r="V22" s="30">
        <f>ROUND($V$18*$A22,2)</f>
        <v>109.65</v>
      </c>
      <c r="W22" s="30">
        <f>SUM(U22:V22)</f>
        <v>859.63</v>
      </c>
      <c r="Y22" s="30">
        <f>+$Y$20</f>
        <v>749.98</v>
      </c>
      <c r="Z22" s="30">
        <f>ROUND($Z$18*$A22,2)</f>
        <v>135.12</v>
      </c>
      <c r="AA22" s="30">
        <f>SUM(Y22:Z22)</f>
        <v>885.1</v>
      </c>
      <c r="AB22" s="30">
        <f t="shared" ref="AB22:AB34" si="6">ROUND($AB$16*A22,2)</f>
        <v>25.54</v>
      </c>
      <c r="AC22" s="30">
        <f t="shared" ref="AC22:AC34" si="7">ROUND($AC$16*A22,2)</f>
        <v>-3.1</v>
      </c>
    </row>
    <row r="23" spans="1:29" x14ac:dyDescent="0.25">
      <c r="A23" s="44"/>
      <c r="C23" s="28"/>
      <c r="D23" s="28"/>
      <c r="E23" s="28"/>
      <c r="F23" s="28"/>
      <c r="K23" s="28"/>
      <c r="L23" s="28"/>
      <c r="M23" s="29"/>
      <c r="N23" s="28"/>
      <c r="O23" s="28"/>
      <c r="P23" s="29"/>
      <c r="AB23" s="30"/>
      <c r="AC23" s="30"/>
    </row>
    <row r="24" spans="1:29" x14ac:dyDescent="0.25">
      <c r="A24" s="44">
        <v>100</v>
      </c>
      <c r="C24" s="28">
        <f>+W24</f>
        <v>969.27</v>
      </c>
      <c r="D24" s="28">
        <f>+AA24</f>
        <v>1020.21</v>
      </c>
      <c r="E24" s="28">
        <f t="shared" si="0"/>
        <v>51.08</v>
      </c>
      <c r="F24" s="28">
        <f t="shared" si="1"/>
        <v>-0.13999999999998636</v>
      </c>
      <c r="G24" s="29">
        <f>ROUND(+F24/C24,4)</f>
        <v>-1E-4</v>
      </c>
      <c r="H24" s="28">
        <f>ROUND($A24*$V$10,2)</f>
        <v>251.73</v>
      </c>
      <c r="I24" s="28">
        <f>ROUND($A24*$V$11,2)</f>
        <v>0</v>
      </c>
      <c r="J24" s="28">
        <f>ROUND($V$12*A24,2)</f>
        <v>23.94</v>
      </c>
      <c r="K24" s="28">
        <f t="shared" si="2"/>
        <v>1296.02</v>
      </c>
      <c r="L24" s="28">
        <f>+D24+H24+I24+J24</f>
        <v>1295.8800000000001</v>
      </c>
      <c r="M24" s="29">
        <f>ROUND((L24-K24)/K24,4)</f>
        <v>-1E-4</v>
      </c>
      <c r="N24" s="28">
        <f t="shared" si="3"/>
        <v>-6.19</v>
      </c>
      <c r="O24" s="28">
        <f t="shared" si="4"/>
        <v>1289.69</v>
      </c>
      <c r="P24" s="29">
        <f t="shared" si="5"/>
        <v>-4.8999999999999998E-3</v>
      </c>
      <c r="U24" s="30">
        <f>+$U$20</f>
        <v>749.98</v>
      </c>
      <c r="V24" s="30">
        <f>ROUND($V$18*$A24,2)</f>
        <v>219.29</v>
      </c>
      <c r="W24" s="30">
        <f>SUM(U24:V24)</f>
        <v>969.27</v>
      </c>
      <c r="Y24" s="30">
        <f>+$Y$20</f>
        <v>749.98</v>
      </c>
      <c r="Z24" s="30">
        <f>ROUND($Z$18*$A24,2)</f>
        <v>270.23</v>
      </c>
      <c r="AA24" s="30">
        <f>SUM(Y24:Z24)</f>
        <v>1020.21</v>
      </c>
      <c r="AB24" s="30">
        <f t="shared" si="6"/>
        <v>51.08</v>
      </c>
      <c r="AC24" s="30">
        <f t="shared" si="7"/>
        <v>-6.19</v>
      </c>
    </row>
    <row r="25" spans="1:29" x14ac:dyDescent="0.25">
      <c r="A25" s="44"/>
      <c r="C25" s="27"/>
      <c r="D25" s="27"/>
      <c r="E25" s="27"/>
      <c r="F25" s="28"/>
      <c r="K25" s="28"/>
      <c r="L25" s="27"/>
      <c r="M25" s="27"/>
      <c r="N25" s="27"/>
      <c r="O25" s="27"/>
      <c r="P25" s="27"/>
      <c r="AB25" s="30"/>
      <c r="AC25" s="30"/>
    </row>
    <row r="26" spans="1:29" x14ac:dyDescent="0.25">
      <c r="A26" s="44">
        <v>500</v>
      </c>
      <c r="C26" s="31">
        <f>+W26</f>
        <v>1846.43</v>
      </c>
      <c r="D26" s="31">
        <f>+AA26</f>
        <v>2101.13</v>
      </c>
      <c r="E26" s="31">
        <f t="shared" si="0"/>
        <v>255.38</v>
      </c>
      <c r="F26" s="28">
        <f t="shared" si="1"/>
        <v>-0.67999999999983629</v>
      </c>
      <c r="G26" s="29">
        <f>ROUND(+F26/C26,4)</f>
        <v>-4.0000000000000002E-4</v>
      </c>
      <c r="H26" s="28">
        <f>ROUND($A26*$V$10,2)</f>
        <v>1258.6500000000001</v>
      </c>
      <c r="I26" s="28">
        <f>ROUND($A26*$V$11,2)</f>
        <v>0</v>
      </c>
      <c r="J26" s="28">
        <f>ROUND($V$12*A26,2)</f>
        <v>119.69</v>
      </c>
      <c r="K26" s="28">
        <f t="shared" si="2"/>
        <v>3480.15</v>
      </c>
      <c r="L26" s="28">
        <f>+D26+H26+I26+J26</f>
        <v>3479.4700000000003</v>
      </c>
      <c r="M26" s="29">
        <f>ROUND((L26-K26)/K26,4)</f>
        <v>-2.0000000000000001E-4</v>
      </c>
      <c r="N26" s="31">
        <f t="shared" si="3"/>
        <v>-30.95</v>
      </c>
      <c r="O26" s="31">
        <f t="shared" si="4"/>
        <v>3448.5200000000004</v>
      </c>
      <c r="P26" s="29">
        <f t="shared" si="5"/>
        <v>-9.1000000000000004E-3</v>
      </c>
      <c r="U26" s="30">
        <f>+$U$20</f>
        <v>749.98</v>
      </c>
      <c r="V26" s="30">
        <f>ROUND($V$18*$A26,2)</f>
        <v>1096.45</v>
      </c>
      <c r="W26" s="30">
        <f>SUM(U26:V26)</f>
        <v>1846.43</v>
      </c>
      <c r="Y26" s="30">
        <f>+$Y$20</f>
        <v>749.98</v>
      </c>
      <c r="Z26" s="30">
        <f>ROUND($Z$18*$A26,2)</f>
        <v>1351.15</v>
      </c>
      <c r="AA26" s="30">
        <f>SUM(Y26:Z26)</f>
        <v>2101.13</v>
      </c>
      <c r="AB26" s="30">
        <f t="shared" si="6"/>
        <v>255.38</v>
      </c>
      <c r="AC26" s="30">
        <f t="shared" si="7"/>
        <v>-30.95</v>
      </c>
    </row>
    <row r="27" spans="1:29" x14ac:dyDescent="0.25">
      <c r="A27" s="44"/>
      <c r="C27" s="27"/>
      <c r="D27" s="27"/>
      <c r="E27" s="27"/>
      <c r="F27" s="28"/>
      <c r="K27" s="28"/>
      <c r="L27" s="27"/>
      <c r="M27" s="27"/>
      <c r="N27" s="27"/>
      <c r="O27" s="27"/>
      <c r="P27" s="27"/>
      <c r="AB27" s="30"/>
      <c r="AC27" s="30"/>
    </row>
    <row r="28" spans="1:29" x14ac:dyDescent="0.25">
      <c r="A28" s="44">
        <v>1000</v>
      </c>
      <c r="C28" s="28">
        <f>+W28</f>
        <v>2942.88</v>
      </c>
      <c r="D28" s="28">
        <f>+AA28</f>
        <v>3452.28</v>
      </c>
      <c r="E28" s="28">
        <f t="shared" si="0"/>
        <v>510.75</v>
      </c>
      <c r="F28" s="28">
        <f t="shared" si="1"/>
        <v>-1.3499999999999091</v>
      </c>
      <c r="G28" s="29">
        <f>ROUND(+F28/C28,4)</f>
        <v>-5.0000000000000001E-4</v>
      </c>
      <c r="H28" s="28">
        <f>ROUND($A28*$V$10,2)</f>
        <v>2517.3000000000002</v>
      </c>
      <c r="I28" s="28">
        <f>ROUND($A28*$V$11,2)</f>
        <v>0</v>
      </c>
      <c r="J28" s="28">
        <f>ROUND($V$12*A28,2)</f>
        <v>239.38</v>
      </c>
      <c r="K28" s="28">
        <f t="shared" si="2"/>
        <v>6210.31</v>
      </c>
      <c r="L28" s="28">
        <f>+D28+H28+I28+J28</f>
        <v>6208.96</v>
      </c>
      <c r="M28" s="29">
        <f>ROUND((L28-K28)/K28,4)</f>
        <v>-2.0000000000000001E-4</v>
      </c>
      <c r="N28" s="28">
        <f t="shared" si="3"/>
        <v>-61.9</v>
      </c>
      <c r="O28" s="28">
        <f t="shared" si="4"/>
        <v>6147.06</v>
      </c>
      <c r="P28" s="29">
        <f t="shared" si="5"/>
        <v>-1.0200000000000001E-2</v>
      </c>
      <c r="U28" s="30">
        <f>+$U$20</f>
        <v>749.98</v>
      </c>
      <c r="V28" s="30">
        <f>ROUND($V$18*$A28,2)</f>
        <v>2192.9</v>
      </c>
      <c r="W28" s="30">
        <f>SUM(U28:V28)</f>
        <v>2942.88</v>
      </c>
      <c r="Y28" s="30">
        <f>+$Y$20</f>
        <v>749.98</v>
      </c>
      <c r="Z28" s="30">
        <f>ROUND($Z$18*$A28,2)</f>
        <v>2702.3</v>
      </c>
      <c r="AA28" s="30">
        <f>SUM(Y28:Z28)</f>
        <v>3452.28</v>
      </c>
      <c r="AB28" s="30">
        <f t="shared" si="6"/>
        <v>510.75</v>
      </c>
      <c r="AC28" s="30">
        <f t="shared" si="7"/>
        <v>-61.9</v>
      </c>
    </row>
    <row r="29" spans="1:29" x14ac:dyDescent="0.25">
      <c r="A29" s="44"/>
      <c r="C29" s="27"/>
      <c r="D29" s="27"/>
      <c r="E29" s="27"/>
      <c r="F29" s="28"/>
      <c r="K29" s="28"/>
      <c r="L29" s="27"/>
      <c r="M29" s="27"/>
      <c r="N29" s="27"/>
      <c r="O29" s="27"/>
      <c r="P29" s="27"/>
      <c r="AB29" s="30"/>
      <c r="AC29" s="30"/>
    </row>
    <row r="30" spans="1:29" x14ac:dyDescent="0.25">
      <c r="A30" s="44">
        <v>2500</v>
      </c>
      <c r="C30" s="28">
        <f>+W30</f>
        <v>6232.23</v>
      </c>
      <c r="D30" s="28">
        <f>+AA30</f>
        <v>7505.73</v>
      </c>
      <c r="E30" s="28">
        <f t="shared" si="0"/>
        <v>1276.8800000000001</v>
      </c>
      <c r="F30" s="28">
        <f t="shared" si="1"/>
        <v>-3.3800000000001091</v>
      </c>
      <c r="G30" s="29">
        <f>ROUND(+F30/C30,4)</f>
        <v>-5.0000000000000001E-4</v>
      </c>
      <c r="H30" s="28">
        <f>ROUND($A30*$V$10,2)</f>
        <v>6293.25</v>
      </c>
      <c r="I30" s="28">
        <f>ROUND($A30*$V$11,2)</f>
        <v>0</v>
      </c>
      <c r="J30" s="28">
        <f>ROUND($V$12*A30,2)</f>
        <v>598.45000000000005</v>
      </c>
      <c r="K30" s="28">
        <f t="shared" si="2"/>
        <v>14400.810000000001</v>
      </c>
      <c r="L30" s="28">
        <f>+D30+H30+I30+J30</f>
        <v>14397.43</v>
      </c>
      <c r="M30" s="29">
        <f>ROUND((L30-K30)/K30,4)</f>
        <v>-2.0000000000000001E-4</v>
      </c>
      <c r="N30" s="28">
        <f t="shared" si="3"/>
        <v>-154.75</v>
      </c>
      <c r="O30" s="28">
        <f t="shared" si="4"/>
        <v>14242.68</v>
      </c>
      <c r="P30" s="29">
        <f t="shared" si="5"/>
        <v>-1.0999999999999999E-2</v>
      </c>
      <c r="U30" s="30">
        <f>+$U$20</f>
        <v>749.98</v>
      </c>
      <c r="V30" s="30">
        <f>ROUND($V$18*$A30,2)</f>
        <v>5482.25</v>
      </c>
      <c r="W30" s="30">
        <f>SUM(U30:V30)</f>
        <v>6232.23</v>
      </c>
      <c r="Y30" s="30">
        <f>+$Y$20</f>
        <v>749.98</v>
      </c>
      <c r="Z30" s="30">
        <f>ROUND($Z$18*$A30,2)</f>
        <v>6755.75</v>
      </c>
      <c r="AA30" s="30">
        <f>SUM(Y30:Z30)</f>
        <v>7505.73</v>
      </c>
      <c r="AB30" s="30">
        <f t="shared" si="6"/>
        <v>1276.8800000000001</v>
      </c>
      <c r="AC30" s="30">
        <f t="shared" si="7"/>
        <v>-154.75</v>
      </c>
    </row>
    <row r="31" spans="1:29" x14ac:dyDescent="0.25">
      <c r="A31" s="44"/>
      <c r="C31" s="27"/>
      <c r="D31" s="27"/>
      <c r="E31" s="27"/>
      <c r="F31" s="28"/>
      <c r="K31" s="28"/>
      <c r="L31" s="27"/>
      <c r="M31" s="27"/>
      <c r="N31" s="27"/>
      <c r="O31" s="27"/>
      <c r="P31" s="27"/>
      <c r="AB31" s="30"/>
      <c r="AC31" s="30"/>
    </row>
    <row r="32" spans="1:29" x14ac:dyDescent="0.25">
      <c r="A32" s="44">
        <v>5000</v>
      </c>
      <c r="C32" s="28">
        <f>+W32</f>
        <v>11714.48</v>
      </c>
      <c r="D32" s="28">
        <f>+AA32</f>
        <v>14261.48</v>
      </c>
      <c r="E32" s="28">
        <f t="shared" si="0"/>
        <v>2553.77</v>
      </c>
      <c r="F32" s="28">
        <f t="shared" si="1"/>
        <v>-6.7700000000004366</v>
      </c>
      <c r="G32" s="29">
        <f>ROUND(+F32/C32,4)</f>
        <v>-5.9999999999999995E-4</v>
      </c>
      <c r="H32" s="28">
        <f>ROUND($A32*$V$10,2)</f>
        <v>12586.49</v>
      </c>
      <c r="I32" s="28">
        <f>ROUND($A32*$V$11,2)</f>
        <v>0</v>
      </c>
      <c r="J32" s="28">
        <f>ROUND($V$12*A32,2)</f>
        <v>1196.9000000000001</v>
      </c>
      <c r="K32" s="28">
        <f t="shared" si="2"/>
        <v>28051.64</v>
      </c>
      <c r="L32" s="28">
        <f>+D32+H32+I32+J32</f>
        <v>28044.870000000003</v>
      </c>
      <c r="M32" s="29">
        <f>ROUND((L32-K32)/K32,4)</f>
        <v>-2.0000000000000001E-4</v>
      </c>
      <c r="N32" s="28">
        <f t="shared" si="3"/>
        <v>-309.5</v>
      </c>
      <c r="O32" s="28">
        <f t="shared" si="4"/>
        <v>27735.370000000003</v>
      </c>
      <c r="P32" s="29">
        <f t="shared" si="5"/>
        <v>-1.1299999999999999E-2</v>
      </c>
      <c r="U32" s="30">
        <f>+$U$20</f>
        <v>749.98</v>
      </c>
      <c r="V32" s="30">
        <f>ROUND($V$18*$A32,2)</f>
        <v>10964.5</v>
      </c>
      <c r="W32" s="30">
        <f>SUM(U32:V32)</f>
        <v>11714.48</v>
      </c>
      <c r="Y32" s="30">
        <f>+$Y$20</f>
        <v>749.98</v>
      </c>
      <c r="Z32" s="30">
        <f>ROUND($Z$18*$A32,2)</f>
        <v>13511.5</v>
      </c>
      <c r="AA32" s="30">
        <f>SUM(Y32:Z32)</f>
        <v>14261.48</v>
      </c>
      <c r="AB32" s="30">
        <f t="shared" si="6"/>
        <v>2553.77</v>
      </c>
      <c r="AC32" s="30">
        <f t="shared" si="7"/>
        <v>-309.5</v>
      </c>
    </row>
    <row r="33" spans="1:29" x14ac:dyDescent="0.25">
      <c r="A33" s="44"/>
      <c r="C33" s="27"/>
      <c r="D33" s="27"/>
      <c r="E33" s="27"/>
      <c r="F33" s="28"/>
      <c r="K33" s="28"/>
      <c r="L33" s="27"/>
      <c r="M33" s="27"/>
      <c r="N33" s="27"/>
      <c r="O33" s="27"/>
      <c r="P33" s="27"/>
      <c r="AB33" s="30"/>
      <c r="AC33" s="30"/>
    </row>
    <row r="34" spans="1:29" x14ac:dyDescent="0.25">
      <c r="A34" s="44">
        <v>7500</v>
      </c>
      <c r="C34" s="28">
        <f>+W34</f>
        <v>17196.73</v>
      </c>
      <c r="D34" s="28">
        <f>+AA34</f>
        <v>21017.23</v>
      </c>
      <c r="E34" s="28">
        <f t="shared" si="0"/>
        <v>3830.65</v>
      </c>
      <c r="F34" s="28">
        <f t="shared" si="1"/>
        <v>-10.150000000001455</v>
      </c>
      <c r="G34" s="29">
        <f>ROUND(+F34/C34,4)</f>
        <v>-5.9999999999999995E-4</v>
      </c>
      <c r="H34" s="28">
        <f>ROUND($A34*$V$10,2)</f>
        <v>18879.740000000002</v>
      </c>
      <c r="I34" s="28">
        <f>ROUND($A34*$V$11,2)</f>
        <v>0</v>
      </c>
      <c r="J34" s="28">
        <f>ROUND($V$12*A34,2)</f>
        <v>1795.35</v>
      </c>
      <c r="K34" s="28">
        <f t="shared" si="2"/>
        <v>41702.47</v>
      </c>
      <c r="L34" s="28">
        <f>+D34+H34+I34+J34</f>
        <v>41692.32</v>
      </c>
      <c r="M34" s="29">
        <f>ROUND((L34-K34)/K34,4)</f>
        <v>-2.0000000000000001E-4</v>
      </c>
      <c r="N34" s="28">
        <f t="shared" si="3"/>
        <v>-464.25</v>
      </c>
      <c r="O34" s="28">
        <f t="shared" si="4"/>
        <v>41228.07</v>
      </c>
      <c r="P34" s="29">
        <f t="shared" si="5"/>
        <v>-1.14E-2</v>
      </c>
      <c r="U34" s="30">
        <f>+$U$20</f>
        <v>749.98</v>
      </c>
      <c r="V34" s="30">
        <f>ROUND($V$18*$A34,2)</f>
        <v>16446.75</v>
      </c>
      <c r="W34" s="30">
        <f>SUM(U34:V34)</f>
        <v>17196.73</v>
      </c>
      <c r="Y34" s="30">
        <f>+$Y$20</f>
        <v>749.98</v>
      </c>
      <c r="Z34" s="30">
        <f>ROUND($Z$18*$A34,2)</f>
        <v>20267.25</v>
      </c>
      <c r="AA34" s="30">
        <f>SUM(Y34:Z34)</f>
        <v>21017.23</v>
      </c>
      <c r="AB34" s="30">
        <f t="shared" si="6"/>
        <v>3830.65</v>
      </c>
      <c r="AC34" s="30">
        <f t="shared" si="7"/>
        <v>-464.25</v>
      </c>
    </row>
    <row r="35" spans="1:29" x14ac:dyDescent="0.25">
      <c r="K35" s="27"/>
      <c r="L35" s="27"/>
      <c r="M35" s="27"/>
      <c r="N35" s="27"/>
      <c r="O35" s="27"/>
      <c r="P35" s="27"/>
    </row>
    <row r="36" spans="1:29" x14ac:dyDescent="0.25">
      <c r="A36" s="26" t="s">
        <v>85</v>
      </c>
      <c r="C36" s="43"/>
      <c r="D36" s="44"/>
      <c r="E36" s="44"/>
      <c r="K36" s="28"/>
      <c r="L36" s="28"/>
      <c r="M36" s="29"/>
      <c r="N36" s="29"/>
      <c r="O36" s="29"/>
      <c r="P36" s="29"/>
    </row>
    <row r="37" spans="1:29" x14ac:dyDescent="0.25">
      <c r="A37" s="46" t="str">
        <f>("Forecast Period Average Usage = "&amp;ROUND(INPUT!E17,1)&amp;" Mcf per month")</f>
        <v>Forecast Period Average Usage = 558.8 Mcf per month</v>
      </c>
    </row>
    <row r="38" spans="1:29" x14ac:dyDescent="0.25">
      <c r="A38" s="47" t="s">
        <v>122</v>
      </c>
    </row>
    <row r="39" spans="1:29" x14ac:dyDescent="0.25">
      <c r="A39" s="60" t="str">
        <f>+'Rate Case Constants'!$C$26</f>
        <v>Calculations may vary from other schedules due to rounding</v>
      </c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9"/>
  <sheetViews>
    <sheetView zoomScale="70" zoomScaleNormal="70" zoomScaleSheetLayoutView="80" workbookViewId="0">
      <selection sqref="A1:P1"/>
    </sheetView>
  </sheetViews>
  <sheetFormatPr defaultColWidth="9.1796875" defaultRowHeight="12.5" x14ac:dyDescent="0.25"/>
  <cols>
    <col min="1" max="1" width="9.26953125" style="26" bestFit="1" customWidth="1"/>
    <col min="2" max="2" width="2" style="26" customWidth="1"/>
    <col min="3" max="7" width="12" style="26" customWidth="1"/>
    <col min="8" max="8" width="12.26953125" style="26" bestFit="1" customWidth="1"/>
    <col min="9" max="10" width="12" style="26" customWidth="1"/>
    <col min="11" max="11" width="12.7265625" style="26" customWidth="1"/>
    <col min="12" max="12" width="13.26953125" style="26" customWidth="1"/>
    <col min="13" max="16" width="12" style="26" customWidth="1"/>
    <col min="17" max="20" width="4.26953125" style="26" customWidth="1"/>
    <col min="21" max="21" width="9.26953125" style="26" bestFit="1" customWidth="1"/>
    <col min="22" max="22" width="13.26953125" style="26" bestFit="1" customWidth="1"/>
    <col min="23" max="23" width="11.54296875" style="26" bestFit="1" customWidth="1"/>
    <col min="24" max="24" width="9.1796875" style="26"/>
    <col min="25" max="25" width="9.26953125" style="26" bestFit="1" customWidth="1"/>
    <col min="26" max="27" width="11.54296875" style="26" bestFit="1" customWidth="1"/>
    <col min="28" max="28" width="15.54296875" style="26" bestFit="1" customWidth="1"/>
    <col min="29" max="29" width="15.1796875" style="26" bestFit="1" customWidth="1"/>
    <col min="30" max="16384" width="9.1796875" style="26"/>
  </cols>
  <sheetData>
    <row r="1" spans="1:32" ht="13" x14ac:dyDescent="0.3">
      <c r="A1" s="150" t="str">
        <f>+'Rate Case Constants'!C9</f>
        <v>LOUISVILLE GAS AND ELECTRIC COMPANY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</row>
    <row r="2" spans="1:32" ht="13" x14ac:dyDescent="0.3">
      <c r="A2" s="150" t="str">
        <f>+'Rate Case Constants'!C10</f>
        <v>CASE NO. 2020-00350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1:32" ht="13" x14ac:dyDescent="0.3">
      <c r="A3" s="151" t="str">
        <f>+'Rate Case Constants'!C24</f>
        <v>Typical Gas Bill Comparison under Current &amp; Proposed Rates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32" ht="13" x14ac:dyDescent="0.3">
      <c r="A4" s="150" t="str">
        <f>+'Rate Case Constants'!C21</f>
        <v>FORECAST PERIOD FOR THE 12 MONTHS ENDED JUNE 30, 2022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32" ht="13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32" ht="13" x14ac:dyDescent="0.3">
      <c r="A6" s="73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32" ht="13" x14ac:dyDescent="0.3">
      <c r="A7" s="72" t="str">
        <f>+'Rate Case Constants'!C33</f>
        <v>DATA: ____BASE PERIOD__X___FORECASTED PERIOD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N7" s="74"/>
      <c r="O7" s="74"/>
      <c r="P7" s="74" t="str">
        <f>+'Rate Case Constants'!C25</f>
        <v>SCHEDULE N (Gas)</v>
      </c>
    </row>
    <row r="8" spans="1:32" ht="13" x14ac:dyDescent="0.3">
      <c r="A8" s="72" t="str">
        <f>+'Rate Case Constants'!C29</f>
        <v>TYPE OF FILING: __X__ ORIGINAL  _____ UPDATED  _____ REVISED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5"/>
      <c r="O8" s="75"/>
      <c r="P8" s="75" t="str">
        <f>+'Rate Case Constants'!I13</f>
        <v>PAGE 6 OF 13</v>
      </c>
    </row>
    <row r="9" spans="1:32" ht="13" x14ac:dyDescent="0.3">
      <c r="A9" s="72" t="str">
        <f>+'Rate Case Constants'!C34</f>
        <v>WORKPAPER REFERENCE NO(S):________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4"/>
      <c r="O9" s="74"/>
      <c r="P9" s="74" t="str">
        <f>+'Rate Case Constants'!C36</f>
        <v>WITNESS:   R. M. CONROY</v>
      </c>
    </row>
    <row r="10" spans="1:32" ht="13" x14ac:dyDescent="0.3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4"/>
      <c r="N10" s="84"/>
      <c r="O10" s="84"/>
      <c r="P10" s="84"/>
      <c r="Q10" s="69"/>
      <c r="R10" s="69"/>
      <c r="S10" s="69"/>
      <c r="T10" s="69"/>
      <c r="U10" s="108" t="s">
        <v>26</v>
      </c>
      <c r="V10" s="54">
        <f>+INPUT!$I$46</f>
        <v>1.1949436343171806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13" x14ac:dyDescent="0.3">
      <c r="A11" s="80" t="s">
        <v>44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69"/>
      <c r="R11" s="69"/>
      <c r="S11" s="69"/>
      <c r="T11" s="69"/>
      <c r="U11" s="108" t="s">
        <v>23</v>
      </c>
      <c r="V11" s="54">
        <f>+INPUT!$J$46</f>
        <v>2.9197035332129968E-3</v>
      </c>
      <c r="W11" s="12"/>
      <c r="X11" s="12"/>
      <c r="Y11" s="18"/>
      <c r="Z11" s="12"/>
      <c r="AA11" s="12"/>
      <c r="AB11" s="12"/>
      <c r="AC11" s="12"/>
      <c r="AD11" s="27"/>
      <c r="AE11" s="27"/>
      <c r="AF11" s="27"/>
    </row>
    <row r="12" spans="1:32" ht="13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U12" s="21" t="s">
        <v>27</v>
      </c>
      <c r="V12" s="54">
        <f>+INPUT!$K$46</f>
        <v>0.12545611991697994</v>
      </c>
      <c r="W12" s="12"/>
      <c r="X12" s="12"/>
      <c r="Y12" s="12"/>
      <c r="Z12" s="12"/>
      <c r="AA12" s="12"/>
      <c r="AB12" s="12"/>
      <c r="AC12" s="12"/>
      <c r="AD12" s="27"/>
      <c r="AE12" s="27"/>
      <c r="AF12" s="27"/>
    </row>
    <row r="13" spans="1:32" ht="13" x14ac:dyDescent="0.3">
      <c r="A13" s="12"/>
      <c r="B13" s="12"/>
      <c r="C13" s="13" t="s">
        <v>68</v>
      </c>
      <c r="D13" s="14" t="s">
        <v>76</v>
      </c>
      <c r="E13" s="14" t="s">
        <v>69</v>
      </c>
      <c r="F13" s="14" t="s">
        <v>70</v>
      </c>
      <c r="G13" s="13" t="s">
        <v>71</v>
      </c>
      <c r="H13" s="13" t="s">
        <v>72</v>
      </c>
      <c r="I13" s="13" t="s">
        <v>77</v>
      </c>
      <c r="J13" s="14" t="s">
        <v>73</v>
      </c>
      <c r="K13" s="13" t="s">
        <v>74</v>
      </c>
      <c r="L13" s="13" t="s">
        <v>75</v>
      </c>
      <c r="M13" s="13" t="s">
        <v>139</v>
      </c>
      <c r="N13" s="13" t="s">
        <v>140</v>
      </c>
      <c r="O13" s="13" t="s">
        <v>141</v>
      </c>
      <c r="P13" s="13" t="s">
        <v>142</v>
      </c>
      <c r="U13" s="12"/>
      <c r="V13" s="12"/>
      <c r="W13" s="12"/>
      <c r="X13" s="12"/>
      <c r="AD13" s="27"/>
      <c r="AE13" s="27"/>
      <c r="AF13" s="27"/>
    </row>
    <row r="14" spans="1:32" ht="13" x14ac:dyDescent="0.3">
      <c r="A14" s="27"/>
      <c r="B14" s="27"/>
      <c r="C14" s="62" t="s">
        <v>92</v>
      </c>
      <c r="D14" s="62" t="s">
        <v>92</v>
      </c>
      <c r="E14" s="62" t="s">
        <v>27</v>
      </c>
      <c r="F14" s="27"/>
      <c r="G14" s="27"/>
      <c r="H14" s="27"/>
      <c r="I14" s="27"/>
      <c r="J14" s="27"/>
      <c r="K14" s="13" t="s">
        <v>18</v>
      </c>
      <c r="L14" s="13" t="s">
        <v>18</v>
      </c>
      <c r="M14" s="27"/>
      <c r="N14" s="13" t="s">
        <v>175</v>
      </c>
      <c r="O14" s="13" t="s">
        <v>18</v>
      </c>
      <c r="P14" s="13"/>
      <c r="U14" s="19" t="s">
        <v>0</v>
      </c>
      <c r="V14" s="19"/>
      <c r="W14" s="19"/>
      <c r="X14" s="27"/>
      <c r="Y14" s="19" t="s">
        <v>17</v>
      </c>
      <c r="Z14" s="19"/>
      <c r="AA14" s="19"/>
      <c r="AB14" s="19"/>
      <c r="AC14" s="19"/>
      <c r="AD14" s="27"/>
      <c r="AE14" s="27"/>
      <c r="AF14" s="27"/>
    </row>
    <row r="15" spans="1:32" ht="13" x14ac:dyDescent="0.3">
      <c r="A15" s="27"/>
      <c r="B15" s="27"/>
      <c r="C15" s="13" t="s">
        <v>13</v>
      </c>
      <c r="D15" s="13" t="s">
        <v>19</v>
      </c>
      <c r="E15" s="13" t="s">
        <v>152</v>
      </c>
      <c r="F15" s="13"/>
      <c r="G15" s="13"/>
      <c r="H15" s="148" t="s">
        <v>20</v>
      </c>
      <c r="I15" s="148"/>
      <c r="J15" s="149"/>
      <c r="K15" s="13" t="s">
        <v>13</v>
      </c>
      <c r="L15" s="13" t="s">
        <v>19</v>
      </c>
      <c r="M15" s="13"/>
      <c r="N15" s="13" t="s">
        <v>176</v>
      </c>
      <c r="O15" s="13" t="s">
        <v>19</v>
      </c>
      <c r="P15" s="13"/>
      <c r="U15" s="14" t="s">
        <v>29</v>
      </c>
      <c r="V15" s="13"/>
      <c r="W15" s="14"/>
      <c r="X15" s="27"/>
      <c r="Y15" s="14" t="s">
        <v>29</v>
      </c>
      <c r="Z15" s="13"/>
      <c r="AA15" s="14"/>
      <c r="AB15" s="14" t="s">
        <v>154</v>
      </c>
      <c r="AC15" s="14" t="s">
        <v>143</v>
      </c>
      <c r="AD15" s="27"/>
      <c r="AE15" s="27"/>
      <c r="AF15" s="27"/>
    </row>
    <row r="16" spans="1:32" ht="13" x14ac:dyDescent="0.3">
      <c r="A16" s="13"/>
      <c r="B16" s="13"/>
      <c r="C16" s="13" t="s">
        <v>21</v>
      </c>
      <c r="D16" s="13" t="s">
        <v>21</v>
      </c>
      <c r="E16" s="13" t="s">
        <v>153</v>
      </c>
      <c r="F16" s="13" t="s">
        <v>22</v>
      </c>
      <c r="G16" s="13" t="s">
        <v>22</v>
      </c>
      <c r="H16" s="13" t="s">
        <v>26</v>
      </c>
      <c r="I16" s="13" t="s">
        <v>23</v>
      </c>
      <c r="J16" s="13" t="s">
        <v>27</v>
      </c>
      <c r="K16" s="13" t="s">
        <v>21</v>
      </c>
      <c r="L16" s="13" t="s">
        <v>21</v>
      </c>
      <c r="M16" s="13" t="s">
        <v>22</v>
      </c>
      <c r="N16" s="13" t="s">
        <v>143</v>
      </c>
      <c r="O16" s="13" t="s">
        <v>144</v>
      </c>
      <c r="P16" s="13" t="s">
        <v>22</v>
      </c>
      <c r="U16" s="14" t="s">
        <v>30</v>
      </c>
      <c r="V16" s="13" t="s">
        <v>93</v>
      </c>
      <c r="W16" s="14" t="s">
        <v>18</v>
      </c>
      <c r="X16" s="27"/>
      <c r="Y16" s="14" t="s">
        <v>30</v>
      </c>
      <c r="Z16" s="13" t="s">
        <v>93</v>
      </c>
      <c r="AA16" s="14" t="s">
        <v>18</v>
      </c>
      <c r="AB16" s="14">
        <f>INPUT!L46</f>
        <v>0.25209683543432826</v>
      </c>
      <c r="AC16" s="14">
        <f>INPUT!F34</f>
        <v>-6.1899999999999997E-2</v>
      </c>
      <c r="AD16" s="13"/>
      <c r="AE16" s="13"/>
      <c r="AF16" s="13"/>
    </row>
    <row r="17" spans="1:32" ht="13" x14ac:dyDescent="0.3">
      <c r="A17" s="13" t="s">
        <v>123</v>
      </c>
      <c r="B17" s="13"/>
      <c r="C17" s="13"/>
      <c r="D17" s="13"/>
      <c r="E17" s="76"/>
      <c r="F17" s="13" t="s">
        <v>24</v>
      </c>
      <c r="G17" s="14" t="s">
        <v>25</v>
      </c>
      <c r="H17" s="15"/>
      <c r="I17" s="15"/>
      <c r="J17" s="16"/>
      <c r="K17" s="13" t="s">
        <v>24</v>
      </c>
      <c r="L17" s="13" t="s">
        <v>24</v>
      </c>
      <c r="M17" s="14" t="s">
        <v>25</v>
      </c>
      <c r="N17" s="77"/>
      <c r="O17" s="77" t="s">
        <v>143</v>
      </c>
      <c r="P17" s="77" t="s">
        <v>25</v>
      </c>
      <c r="U17" s="32" t="s">
        <v>31</v>
      </c>
      <c r="V17" s="33" t="s">
        <v>31</v>
      </c>
      <c r="W17" s="32" t="s">
        <v>21</v>
      </c>
      <c r="X17" s="27"/>
      <c r="Y17" s="32" t="s">
        <v>31</v>
      </c>
      <c r="Z17" s="33" t="s">
        <v>31</v>
      </c>
      <c r="AA17" s="32" t="s">
        <v>21</v>
      </c>
      <c r="AB17" s="114" t="s">
        <v>147</v>
      </c>
      <c r="AC17" s="114" t="s">
        <v>147</v>
      </c>
      <c r="AD17" s="13"/>
      <c r="AE17" s="13"/>
      <c r="AF17" s="13"/>
    </row>
    <row r="18" spans="1:32" ht="13" x14ac:dyDescent="0.3">
      <c r="A18" s="71"/>
      <c r="B18" s="71"/>
      <c r="C18" s="71"/>
      <c r="D18" s="71"/>
      <c r="E18" s="115"/>
      <c r="F18" s="116" t="str">
        <f>("[ "&amp;D13&amp;" - ("&amp;E13&amp;" + "&amp;C13&amp;") ]")</f>
        <v>[ B - (C + A) ]</v>
      </c>
      <c r="G18" s="116" t="str">
        <f>("[ "&amp;F13&amp;" / "&amp;C13&amp;" ]")</f>
        <v>[ D / A ]</v>
      </c>
      <c r="H18" s="117"/>
      <c r="I18" s="117"/>
      <c r="J18" s="117"/>
      <c r="K18" s="116" t="str">
        <f>("["&amp;C13&amp;"+"&amp;E13&amp;"+"&amp;$H$13&amp;"+"&amp;$I$13&amp;"+"&amp;$J$13&amp;"]")</f>
        <v>[A+C+F+G+H]</v>
      </c>
      <c r="L18" s="116" t="str">
        <f>("["&amp;D13&amp;"+"&amp;H13&amp;"+"&amp;I13&amp;"+"&amp;J13&amp;"]")</f>
        <v>[B+F+G+H]</v>
      </c>
      <c r="M18" s="115" t="str">
        <f>("[("&amp;L13&amp;" - "&amp;K13&amp;") / "&amp;K13&amp;"]")</f>
        <v>[(J - I) / I]</v>
      </c>
      <c r="N18" s="115"/>
      <c r="O18" s="115" t="s">
        <v>145</v>
      </c>
      <c r="P18" s="115" t="s">
        <v>146</v>
      </c>
      <c r="U18" s="14"/>
      <c r="V18" s="20">
        <f>+INPUT!$F$9</f>
        <v>1.0644</v>
      </c>
      <c r="W18" s="14"/>
      <c r="X18" s="27"/>
      <c r="Y18" s="14"/>
      <c r="Z18" s="20">
        <f>+INPUT!$F$27</f>
        <v>2.0167999999999999</v>
      </c>
      <c r="AA18" s="14"/>
      <c r="AB18" s="14"/>
      <c r="AC18" s="14"/>
      <c r="AD18" s="13"/>
      <c r="AE18" s="13"/>
      <c r="AF18" s="13"/>
    </row>
    <row r="19" spans="1:32" ht="13" x14ac:dyDescent="0.3">
      <c r="A19" s="13"/>
      <c r="B19" s="13"/>
      <c r="C19" s="13"/>
      <c r="D19" s="13"/>
      <c r="E19" s="13"/>
      <c r="G19" s="13"/>
      <c r="H19" s="13"/>
      <c r="I19" s="13"/>
      <c r="J19" s="13"/>
      <c r="K19" s="14"/>
      <c r="L19" s="14"/>
      <c r="M19" s="14"/>
      <c r="N19" s="14"/>
      <c r="O19" s="14"/>
      <c r="P19" s="14"/>
      <c r="U19" s="14"/>
      <c r="V19" s="14" t="s">
        <v>94</v>
      </c>
      <c r="W19" s="14"/>
      <c r="X19" s="27"/>
      <c r="Y19" s="14"/>
      <c r="Z19" s="14" t="s">
        <v>94</v>
      </c>
      <c r="AA19" s="14"/>
      <c r="AB19" s="14"/>
      <c r="AC19" s="14"/>
      <c r="AD19" s="13"/>
      <c r="AE19" s="13"/>
      <c r="AF19" s="13"/>
    </row>
    <row r="20" spans="1:32" x14ac:dyDescent="0.25">
      <c r="A20" s="44">
        <v>500</v>
      </c>
      <c r="C20" s="28">
        <f>+W20</f>
        <v>1032.2</v>
      </c>
      <c r="D20" s="28">
        <f>+AA20</f>
        <v>1638.4</v>
      </c>
      <c r="E20" s="28">
        <f>AB20</f>
        <v>126.05</v>
      </c>
      <c r="F20" s="28">
        <f>+D20-(E20+C20)</f>
        <v>480.15000000000009</v>
      </c>
      <c r="G20" s="29">
        <f>ROUND(+F20/C20,4)</f>
        <v>0.4652</v>
      </c>
      <c r="H20" s="28">
        <f>ROUND($A20*$V$10,2)</f>
        <v>597.47</v>
      </c>
      <c r="I20" s="28">
        <f>ROUND($A20*$V$11,2)</f>
        <v>1.46</v>
      </c>
      <c r="J20" s="28">
        <f>ROUND($V$12*A20,2)</f>
        <v>62.73</v>
      </c>
      <c r="K20" s="28">
        <f>+C20+E20+H20+I20+J20</f>
        <v>1819.91</v>
      </c>
      <c r="L20" s="28">
        <f>+D20+H20+I20+J20</f>
        <v>2300.06</v>
      </c>
      <c r="M20" s="29">
        <f>ROUND((L20-K20)/K20,4)</f>
        <v>0.26379999999999998</v>
      </c>
      <c r="N20" s="28">
        <f>AC20</f>
        <v>-30.95</v>
      </c>
      <c r="O20" s="28">
        <f>L20+N20</f>
        <v>2269.11</v>
      </c>
      <c r="P20" s="29">
        <f>ROUND((O20-K20)/K20,4)</f>
        <v>0.24679999999999999</v>
      </c>
      <c r="U20" s="30">
        <f>+INPUT!$F$5</f>
        <v>500</v>
      </c>
      <c r="V20" s="30">
        <f>ROUND($V$18*$A20,2)</f>
        <v>532.20000000000005</v>
      </c>
      <c r="W20" s="30">
        <f>SUM(U20:V20)</f>
        <v>1032.2</v>
      </c>
      <c r="Y20" s="30">
        <f>+INPUT!$F$22</f>
        <v>630</v>
      </c>
      <c r="Z20" s="30">
        <f>ROUND($Z$18*$A20,2)</f>
        <v>1008.4</v>
      </c>
      <c r="AA20" s="30">
        <f>SUM(Y20:Z20)</f>
        <v>1638.4</v>
      </c>
      <c r="AB20" s="30">
        <f>ROUND($AB$16*A20,2)</f>
        <v>126.05</v>
      </c>
      <c r="AC20" s="30">
        <f>ROUND($AC$16*A20,2)</f>
        <v>-30.95</v>
      </c>
    </row>
    <row r="21" spans="1:32" x14ac:dyDescent="0.25">
      <c r="A21" s="44"/>
      <c r="C21" s="27"/>
      <c r="D21" s="27"/>
      <c r="F21" s="28"/>
      <c r="K21" s="28"/>
      <c r="L21" s="27"/>
      <c r="M21" s="27"/>
      <c r="N21" s="27"/>
      <c r="O21" s="27"/>
      <c r="P21" s="27"/>
      <c r="AB21" s="30"/>
      <c r="AC21" s="30"/>
    </row>
    <row r="22" spans="1:32" x14ac:dyDescent="0.25">
      <c r="A22" s="44">
        <v>1000</v>
      </c>
      <c r="C22" s="28">
        <f>+W22</f>
        <v>1564.4</v>
      </c>
      <c r="D22" s="28">
        <f>+AA22</f>
        <v>2646.8</v>
      </c>
      <c r="E22" s="28">
        <f t="shared" ref="E22:E34" si="0">AB22</f>
        <v>252.1</v>
      </c>
      <c r="F22" s="28">
        <f t="shared" ref="F22:F32" si="1">+D22-(E22+C22)</f>
        <v>830.30000000000018</v>
      </c>
      <c r="G22" s="64">
        <f>ROUND(+F22/C22,4)</f>
        <v>0.53069999999999995</v>
      </c>
      <c r="H22" s="31">
        <f>ROUND($A22*$V$10,2)</f>
        <v>1194.94</v>
      </c>
      <c r="I22" s="31">
        <f>ROUND($A22*$V$11,2)</f>
        <v>2.92</v>
      </c>
      <c r="J22" s="28">
        <f>ROUND($V$12*A22,2)</f>
        <v>125.46</v>
      </c>
      <c r="K22" s="28">
        <f t="shared" ref="K22:K32" si="2">+C22+E22+H22+I22+J22</f>
        <v>3139.82</v>
      </c>
      <c r="L22" s="31">
        <f>+D22+H22+I22+J22</f>
        <v>3970.1200000000003</v>
      </c>
      <c r="M22" s="64">
        <f>ROUND((L22-K22)/K22,4)</f>
        <v>0.26440000000000002</v>
      </c>
      <c r="N22" s="28">
        <f t="shared" ref="N22:N34" si="3">AC22</f>
        <v>-61.9</v>
      </c>
      <c r="O22" s="28">
        <f t="shared" ref="O22:O34" si="4">L22+N22</f>
        <v>3908.2200000000003</v>
      </c>
      <c r="P22" s="64">
        <f t="shared" ref="P22:P34" si="5">ROUND((O22-K22)/K22,4)</f>
        <v>0.2447</v>
      </c>
      <c r="U22" s="30">
        <f>+$U$20</f>
        <v>500</v>
      </c>
      <c r="V22" s="30">
        <f>ROUND($V$18*$A22,2)</f>
        <v>1064.4000000000001</v>
      </c>
      <c r="W22" s="30">
        <f>SUM(U22:V22)</f>
        <v>1564.4</v>
      </c>
      <c r="Y22" s="30">
        <f>+$Y$20</f>
        <v>630</v>
      </c>
      <c r="Z22" s="30">
        <f>ROUND($Z$18*$A22,2)</f>
        <v>2016.8</v>
      </c>
      <c r="AA22" s="30">
        <f>SUM(Y22:Z22)</f>
        <v>2646.8</v>
      </c>
      <c r="AB22" s="30">
        <f t="shared" ref="AB22:AB34" si="6">ROUND($AB$16*A22,2)</f>
        <v>252.1</v>
      </c>
      <c r="AC22" s="30">
        <f t="shared" ref="AC22:AC34" si="7">ROUND($AC$16*A22,2)</f>
        <v>-61.9</v>
      </c>
    </row>
    <row r="23" spans="1:32" x14ac:dyDescent="0.25">
      <c r="A23" s="44"/>
      <c r="C23" s="28"/>
      <c r="D23" s="28"/>
      <c r="F23" s="28"/>
      <c r="K23" s="28"/>
      <c r="L23" s="28"/>
      <c r="M23" s="29"/>
      <c r="N23" s="28"/>
      <c r="O23" s="28"/>
      <c r="P23" s="29"/>
      <c r="AB23" s="30"/>
      <c r="AC23" s="30"/>
    </row>
    <row r="24" spans="1:32" x14ac:dyDescent="0.25">
      <c r="A24" s="95">
        <v>2000</v>
      </c>
      <c r="B24" s="69"/>
      <c r="C24" s="31">
        <f>+W24</f>
        <v>2628.8</v>
      </c>
      <c r="D24" s="31">
        <f>+AA24</f>
        <v>4663.6000000000004</v>
      </c>
      <c r="E24" s="28">
        <f t="shared" si="0"/>
        <v>504.19</v>
      </c>
      <c r="F24" s="28">
        <f t="shared" si="1"/>
        <v>1530.6100000000001</v>
      </c>
      <c r="G24" s="64">
        <f>ROUND(+F24/C24,4)</f>
        <v>0.58220000000000005</v>
      </c>
      <c r="H24" s="31">
        <f>ROUND($A24*$V$10,2)</f>
        <v>2389.89</v>
      </c>
      <c r="I24" s="31">
        <f>ROUND($A24*$V$11,2)</f>
        <v>5.84</v>
      </c>
      <c r="J24" s="28">
        <f>ROUND($V$12*A24,2)</f>
        <v>250.91</v>
      </c>
      <c r="K24" s="28">
        <f t="shared" si="2"/>
        <v>5779.63</v>
      </c>
      <c r="L24" s="31">
        <f>+D24+H24+I24+J24</f>
        <v>7310.24</v>
      </c>
      <c r="M24" s="64">
        <f>ROUND((L24-K24)/K24,4)</f>
        <v>0.26479999999999998</v>
      </c>
      <c r="N24" s="28">
        <f t="shared" si="3"/>
        <v>-123.8</v>
      </c>
      <c r="O24" s="28">
        <f t="shared" si="4"/>
        <v>7186.44</v>
      </c>
      <c r="P24" s="29">
        <f t="shared" si="5"/>
        <v>0.24340000000000001</v>
      </c>
      <c r="U24" s="30">
        <f>+$U$20</f>
        <v>500</v>
      </c>
      <c r="V24" s="30">
        <f>ROUND($V$18*$A24,2)</f>
        <v>2128.8000000000002</v>
      </c>
      <c r="W24" s="30">
        <f>SUM(U24:V24)</f>
        <v>2628.8</v>
      </c>
      <c r="Y24" s="30">
        <f>+$Y$20</f>
        <v>630</v>
      </c>
      <c r="Z24" s="30">
        <f>ROUND($Z$18*$A24,2)</f>
        <v>4033.6</v>
      </c>
      <c r="AA24" s="30">
        <f>SUM(Y24:Z24)</f>
        <v>4663.6000000000004</v>
      </c>
      <c r="AB24" s="30">
        <f t="shared" si="6"/>
        <v>504.19</v>
      </c>
      <c r="AC24" s="30">
        <f t="shared" si="7"/>
        <v>-123.8</v>
      </c>
    </row>
    <row r="25" spans="1:32" x14ac:dyDescent="0.25">
      <c r="A25" s="44"/>
      <c r="C25" s="27"/>
      <c r="D25" s="27"/>
      <c r="F25" s="28"/>
      <c r="K25" s="28"/>
      <c r="L25" s="27"/>
      <c r="M25" s="27"/>
      <c r="N25" s="27"/>
      <c r="O25" s="27"/>
      <c r="P25" s="27"/>
      <c r="AB25" s="30"/>
      <c r="AC25" s="30"/>
    </row>
    <row r="26" spans="1:32" x14ac:dyDescent="0.25">
      <c r="A26" s="44">
        <v>4000</v>
      </c>
      <c r="C26" s="31">
        <f>+W26</f>
        <v>4757.6000000000004</v>
      </c>
      <c r="D26" s="31">
        <f>+AA26</f>
        <v>8697.2000000000007</v>
      </c>
      <c r="E26" s="28">
        <f t="shared" si="0"/>
        <v>1008.39</v>
      </c>
      <c r="F26" s="28">
        <f t="shared" si="1"/>
        <v>2931.21</v>
      </c>
      <c r="G26" s="29">
        <f>ROUND(+F26/C26,4)</f>
        <v>0.61609999999999998</v>
      </c>
      <c r="H26" s="28">
        <f>ROUND($A26*$V$10,2)</f>
        <v>4779.7700000000004</v>
      </c>
      <c r="I26" s="28">
        <f>ROUND($A26*$V$11,2)</f>
        <v>11.68</v>
      </c>
      <c r="J26" s="28">
        <f>ROUND($V$12*A26,2)</f>
        <v>501.82</v>
      </c>
      <c r="K26" s="28">
        <f t="shared" si="2"/>
        <v>11059.260000000002</v>
      </c>
      <c r="L26" s="28">
        <f>+D26+H26+I26+J26</f>
        <v>13990.470000000001</v>
      </c>
      <c r="M26" s="29">
        <f>ROUND((L26-K26)/K26,4)</f>
        <v>0.26500000000000001</v>
      </c>
      <c r="N26" s="31">
        <f t="shared" si="3"/>
        <v>-247.6</v>
      </c>
      <c r="O26" s="31">
        <f t="shared" si="4"/>
        <v>13742.87</v>
      </c>
      <c r="P26" s="29">
        <f t="shared" si="5"/>
        <v>0.2427</v>
      </c>
      <c r="U26" s="30">
        <f>+$U$20</f>
        <v>500</v>
      </c>
      <c r="V26" s="30">
        <f>ROUND($V$18*$A26,2)</f>
        <v>4257.6000000000004</v>
      </c>
      <c r="W26" s="30">
        <f>SUM(U26:V26)</f>
        <v>4757.6000000000004</v>
      </c>
      <c r="Y26" s="30">
        <f>+$Y$20</f>
        <v>630</v>
      </c>
      <c r="Z26" s="30">
        <f>ROUND($Z$18*$A26,2)</f>
        <v>8067.2</v>
      </c>
      <c r="AA26" s="30">
        <f>SUM(Y26:Z26)</f>
        <v>8697.2000000000007</v>
      </c>
      <c r="AB26" s="30">
        <f t="shared" si="6"/>
        <v>1008.39</v>
      </c>
      <c r="AC26" s="30">
        <f t="shared" si="7"/>
        <v>-247.6</v>
      </c>
    </row>
    <row r="27" spans="1:32" x14ac:dyDescent="0.25">
      <c r="A27" s="44"/>
      <c r="C27" s="27"/>
      <c r="D27" s="27"/>
      <c r="F27" s="28"/>
      <c r="K27" s="28"/>
      <c r="L27" s="27"/>
      <c r="M27" s="27"/>
      <c r="N27" s="27"/>
      <c r="O27" s="27"/>
      <c r="P27" s="27"/>
      <c r="AB27" s="30"/>
      <c r="AC27" s="30"/>
    </row>
    <row r="28" spans="1:32" x14ac:dyDescent="0.25">
      <c r="A28" s="44">
        <v>6000</v>
      </c>
      <c r="C28" s="28">
        <f>+W28</f>
        <v>6886.4</v>
      </c>
      <c r="D28" s="28">
        <f>+AA28</f>
        <v>12730.8</v>
      </c>
      <c r="E28" s="28">
        <f t="shared" si="0"/>
        <v>1512.58</v>
      </c>
      <c r="F28" s="28">
        <f t="shared" si="1"/>
        <v>4331.82</v>
      </c>
      <c r="G28" s="29">
        <f>ROUND(+F28/C28,4)</f>
        <v>0.629</v>
      </c>
      <c r="H28" s="28">
        <f>ROUND($A28*$V$10,2)</f>
        <v>7169.66</v>
      </c>
      <c r="I28" s="28">
        <f>ROUND($A28*$V$11,2)</f>
        <v>17.52</v>
      </c>
      <c r="J28" s="28">
        <f>ROUND($V$12*A28,2)</f>
        <v>752.74</v>
      </c>
      <c r="K28" s="28">
        <f t="shared" si="2"/>
        <v>16338.9</v>
      </c>
      <c r="L28" s="28">
        <f>+D28+H28+I28+J28</f>
        <v>20670.72</v>
      </c>
      <c r="M28" s="29">
        <f>ROUND((L28-K28)/K28,4)</f>
        <v>0.2651</v>
      </c>
      <c r="N28" s="28">
        <f t="shared" si="3"/>
        <v>-371.4</v>
      </c>
      <c r="O28" s="28">
        <f t="shared" si="4"/>
        <v>20299.32</v>
      </c>
      <c r="P28" s="29">
        <f t="shared" si="5"/>
        <v>0.2424</v>
      </c>
      <c r="U28" s="30">
        <f>+$U$20</f>
        <v>500</v>
      </c>
      <c r="V28" s="30">
        <f>ROUND($V$18*$A28,2)</f>
        <v>6386.4</v>
      </c>
      <c r="W28" s="30">
        <f>SUM(U28:V28)</f>
        <v>6886.4</v>
      </c>
      <c r="Y28" s="30">
        <f>+$Y$20</f>
        <v>630</v>
      </c>
      <c r="Z28" s="30">
        <f>ROUND($Z$18*$A28,2)</f>
        <v>12100.8</v>
      </c>
      <c r="AA28" s="30">
        <f>SUM(Y28:Z28)</f>
        <v>12730.8</v>
      </c>
      <c r="AB28" s="30">
        <f t="shared" si="6"/>
        <v>1512.58</v>
      </c>
      <c r="AC28" s="30">
        <f t="shared" si="7"/>
        <v>-371.4</v>
      </c>
    </row>
    <row r="29" spans="1:32" x14ac:dyDescent="0.25">
      <c r="A29" s="44"/>
      <c r="C29" s="27"/>
      <c r="D29" s="27"/>
      <c r="F29" s="28"/>
      <c r="K29" s="28"/>
      <c r="L29" s="27"/>
      <c r="M29" s="27"/>
      <c r="N29" s="27"/>
      <c r="O29" s="27"/>
      <c r="P29" s="27"/>
      <c r="AB29" s="30"/>
      <c r="AC29" s="30"/>
    </row>
    <row r="30" spans="1:32" x14ac:dyDescent="0.25">
      <c r="A30" s="44">
        <v>8000</v>
      </c>
      <c r="C30" s="28">
        <f>+W30</f>
        <v>9015.2000000000007</v>
      </c>
      <c r="D30" s="28">
        <f>+AA30</f>
        <v>16764.400000000001</v>
      </c>
      <c r="E30" s="28">
        <f t="shared" si="0"/>
        <v>2016.77</v>
      </c>
      <c r="F30" s="28">
        <f t="shared" si="1"/>
        <v>5732.43</v>
      </c>
      <c r="G30" s="29">
        <f>ROUND(+F30/C30,4)</f>
        <v>0.63590000000000002</v>
      </c>
      <c r="H30" s="28">
        <f>ROUND($A30*$V$10,2)</f>
        <v>9559.5499999999993</v>
      </c>
      <c r="I30" s="28">
        <f>ROUND($A30*$V$11,2)</f>
        <v>23.36</v>
      </c>
      <c r="J30" s="28">
        <f>ROUND($V$12*A30,2)</f>
        <v>1003.65</v>
      </c>
      <c r="K30" s="28">
        <f t="shared" si="2"/>
        <v>21618.530000000002</v>
      </c>
      <c r="L30" s="28">
        <f>+D30+H30+I30+J30</f>
        <v>27350.960000000003</v>
      </c>
      <c r="M30" s="29">
        <f>ROUND((L30-K30)/K30,4)</f>
        <v>0.26519999999999999</v>
      </c>
      <c r="N30" s="28">
        <f t="shared" si="3"/>
        <v>-495.2</v>
      </c>
      <c r="O30" s="28">
        <f t="shared" si="4"/>
        <v>26855.760000000002</v>
      </c>
      <c r="P30" s="29">
        <f t="shared" si="5"/>
        <v>0.24229999999999999</v>
      </c>
      <c r="U30" s="30">
        <f>+$U$20</f>
        <v>500</v>
      </c>
      <c r="V30" s="30">
        <f>ROUND($V$18*$A30,2)</f>
        <v>8515.2000000000007</v>
      </c>
      <c r="W30" s="30">
        <f>SUM(U30:V30)</f>
        <v>9015.2000000000007</v>
      </c>
      <c r="Y30" s="30">
        <f>+$Y$20</f>
        <v>630</v>
      </c>
      <c r="Z30" s="30">
        <f>ROUND($Z$18*$A30,2)</f>
        <v>16134.4</v>
      </c>
      <c r="AA30" s="30">
        <f>SUM(Y30:Z30)</f>
        <v>16764.400000000001</v>
      </c>
      <c r="AB30" s="30">
        <f t="shared" si="6"/>
        <v>2016.77</v>
      </c>
      <c r="AC30" s="30">
        <f t="shared" si="7"/>
        <v>-495.2</v>
      </c>
    </row>
    <row r="31" spans="1:32" x14ac:dyDescent="0.25">
      <c r="A31" s="44"/>
      <c r="C31" s="27"/>
      <c r="D31" s="27"/>
      <c r="F31" s="28"/>
      <c r="K31" s="28"/>
      <c r="L31" s="27"/>
      <c r="M31" s="27"/>
      <c r="N31" s="27"/>
      <c r="O31" s="27"/>
      <c r="P31" s="27"/>
      <c r="AB31" s="30"/>
      <c r="AC31" s="30"/>
    </row>
    <row r="32" spans="1:32" x14ac:dyDescent="0.25">
      <c r="A32" s="44">
        <v>10000</v>
      </c>
      <c r="C32" s="28">
        <f>+W32</f>
        <v>11144</v>
      </c>
      <c r="D32" s="28">
        <f>+AA32</f>
        <v>20798</v>
      </c>
      <c r="E32" s="28">
        <f t="shared" si="0"/>
        <v>2520.9699999999998</v>
      </c>
      <c r="F32" s="28">
        <f t="shared" si="1"/>
        <v>7133.0300000000007</v>
      </c>
      <c r="G32" s="29">
        <f>ROUND(+F32/C32,4)</f>
        <v>0.6401</v>
      </c>
      <c r="H32" s="28">
        <f>ROUND($A32*$V$10,2)</f>
        <v>11949.44</v>
      </c>
      <c r="I32" s="28">
        <f>ROUND($A32*$V$11,2)</f>
        <v>29.2</v>
      </c>
      <c r="J32" s="28">
        <f>ROUND($V$12*A32,2)</f>
        <v>1254.56</v>
      </c>
      <c r="K32" s="28">
        <f t="shared" si="2"/>
        <v>26898.170000000002</v>
      </c>
      <c r="L32" s="28">
        <f>+D32+H32+I32+J32</f>
        <v>34031.199999999997</v>
      </c>
      <c r="M32" s="29">
        <f>ROUND((L32-K32)/K32,4)</f>
        <v>0.26519999999999999</v>
      </c>
      <c r="N32" s="28">
        <f t="shared" si="3"/>
        <v>-619</v>
      </c>
      <c r="O32" s="28">
        <f t="shared" si="4"/>
        <v>33412.199999999997</v>
      </c>
      <c r="P32" s="29">
        <f t="shared" si="5"/>
        <v>0.2422</v>
      </c>
      <c r="U32" s="30">
        <f>+$U$20</f>
        <v>500</v>
      </c>
      <c r="V32" s="30">
        <f>ROUND($V$18*$A32,2)</f>
        <v>10644</v>
      </c>
      <c r="W32" s="30">
        <f>SUM(U32:V32)</f>
        <v>11144</v>
      </c>
      <c r="Y32" s="30">
        <f>+$Y$20</f>
        <v>630</v>
      </c>
      <c r="Z32" s="30">
        <f>ROUND($Z$18*$A32,2)</f>
        <v>20168</v>
      </c>
      <c r="AA32" s="30">
        <f>SUM(Y32:Z32)</f>
        <v>20798</v>
      </c>
      <c r="AB32" s="30">
        <f t="shared" si="6"/>
        <v>2520.9699999999998</v>
      </c>
      <c r="AC32" s="30">
        <f t="shared" si="7"/>
        <v>-619</v>
      </c>
    </row>
    <row r="33" spans="1:29" x14ac:dyDescent="0.25">
      <c r="A33" s="44"/>
      <c r="C33" s="27"/>
      <c r="D33" s="27"/>
      <c r="F33" s="28"/>
      <c r="K33" s="28"/>
      <c r="L33" s="27"/>
      <c r="M33" s="27"/>
      <c r="N33" s="27"/>
      <c r="O33" s="27"/>
      <c r="P33" s="27"/>
      <c r="AB33" s="30"/>
      <c r="AC33" s="30"/>
    </row>
    <row r="34" spans="1:29" x14ac:dyDescent="0.25">
      <c r="A34" s="44">
        <v>15000</v>
      </c>
      <c r="C34" s="28">
        <f>+W34</f>
        <v>16466</v>
      </c>
      <c r="D34" s="28">
        <f>+AA34</f>
        <v>30882</v>
      </c>
      <c r="E34" s="28">
        <f t="shared" si="0"/>
        <v>3781.45</v>
      </c>
      <c r="F34" s="28">
        <f>+D34-(E34+C34)</f>
        <v>10634.55</v>
      </c>
      <c r="G34" s="29">
        <f>ROUND(+F34/C34,4)</f>
        <v>0.64580000000000004</v>
      </c>
      <c r="H34" s="28">
        <f>ROUND($A34*$V$10,2)</f>
        <v>17924.150000000001</v>
      </c>
      <c r="I34" s="28">
        <f>ROUND($A34*$V$11,2)</f>
        <v>43.8</v>
      </c>
      <c r="J34" s="28">
        <f>ROUND($V$12*A34,2)</f>
        <v>1881.84</v>
      </c>
      <c r="K34" s="28">
        <f>+C34+E34+H34+I34+J34</f>
        <v>40097.240000000005</v>
      </c>
      <c r="L34" s="28">
        <f>+D34+H34+I34+J34</f>
        <v>50731.79</v>
      </c>
      <c r="M34" s="29">
        <f>ROUND((L34-K34)/K34,4)</f>
        <v>0.26519999999999999</v>
      </c>
      <c r="N34" s="28">
        <f t="shared" si="3"/>
        <v>-928.5</v>
      </c>
      <c r="O34" s="28">
        <f t="shared" si="4"/>
        <v>49803.29</v>
      </c>
      <c r="P34" s="29">
        <f t="shared" si="5"/>
        <v>0.24210000000000001</v>
      </c>
      <c r="U34" s="30">
        <f>+$U$20</f>
        <v>500</v>
      </c>
      <c r="V34" s="30">
        <f>ROUND($V$18*$A34,2)</f>
        <v>15966</v>
      </c>
      <c r="W34" s="30">
        <f>SUM(U34:V34)</f>
        <v>16466</v>
      </c>
      <c r="Y34" s="30">
        <f>+$Y$20</f>
        <v>630</v>
      </c>
      <c r="Z34" s="30">
        <f>ROUND($Z$18*$A34,2)</f>
        <v>30252</v>
      </c>
      <c r="AA34" s="30">
        <f>SUM(Y34:Z34)</f>
        <v>30882</v>
      </c>
      <c r="AB34" s="30">
        <f t="shared" si="6"/>
        <v>3781.45</v>
      </c>
      <c r="AC34" s="30">
        <f t="shared" si="7"/>
        <v>-928.5</v>
      </c>
    </row>
    <row r="35" spans="1:29" x14ac:dyDescent="0.25">
      <c r="K35" s="27"/>
      <c r="L35" s="27"/>
      <c r="M35" s="27"/>
      <c r="N35" s="27"/>
      <c r="O35" s="27"/>
      <c r="P35" s="27"/>
    </row>
    <row r="36" spans="1:29" x14ac:dyDescent="0.25">
      <c r="A36" s="26" t="s">
        <v>85</v>
      </c>
      <c r="C36" s="43"/>
      <c r="D36" s="44"/>
      <c r="E36" s="44"/>
      <c r="K36" s="28"/>
      <c r="L36" s="28"/>
      <c r="M36" s="29"/>
      <c r="N36" s="29"/>
      <c r="O36" s="29"/>
      <c r="P36" s="29"/>
    </row>
    <row r="37" spans="1:29" x14ac:dyDescent="0.25">
      <c r="A37" s="46" t="str">
        <f>("Forecast Period Average Usage = "&amp;TEXT(INPUT!F17,"0,000")&amp;" Mcf per month")</f>
        <v>Forecast Period Average Usage = 4,157 Mcf per month</v>
      </c>
    </row>
    <row r="38" spans="1:29" x14ac:dyDescent="0.25">
      <c r="A38" s="47" t="s">
        <v>122</v>
      </c>
    </row>
    <row r="39" spans="1:29" x14ac:dyDescent="0.25">
      <c r="A39" s="60" t="str">
        <f>+'Rate Case Constants'!$C$26</f>
        <v>Calculations may vary from other schedules due to rounding</v>
      </c>
    </row>
  </sheetData>
  <mergeCells count="5">
    <mergeCell ref="H15:J15"/>
    <mergeCell ref="A1:P1"/>
    <mergeCell ref="A2:P2"/>
    <mergeCell ref="A3:P3"/>
    <mergeCell ref="A4:P4"/>
  </mergeCells>
  <printOptions horizontalCentered="1"/>
  <pageMargins left="0.75" right="0.75" top="1.5" bottom="0.5" header="1" footer="0.5"/>
  <pageSetup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39E51607-786B-46CA-BDE9-437D51F6036C}"/>
</file>

<file path=customXml/itemProps2.xml><?xml version="1.0" encoding="utf-8"?>
<ds:datastoreItem xmlns:ds="http://schemas.openxmlformats.org/officeDocument/2006/customXml" ds:itemID="{CF94584A-0D07-427A-ADAD-F7A07A553611}"/>
</file>

<file path=customXml/itemProps3.xml><?xml version="1.0" encoding="utf-8"?>
<ds:datastoreItem xmlns:ds="http://schemas.openxmlformats.org/officeDocument/2006/customXml" ds:itemID="{BDD3C71F-396E-4D08-8478-FCDC142B1DB4}"/>
</file>

<file path=customXml/itemProps4.xml><?xml version="1.0" encoding="utf-8"?>
<ds:datastoreItem xmlns:ds="http://schemas.openxmlformats.org/officeDocument/2006/customXml" ds:itemID="{83D8E1E1-6941-4746-BE25-D99AA4558DF2}"/>
</file>

<file path=customXml/itemProps5.xml><?xml version="1.0" encoding="utf-8"?>
<ds:datastoreItem xmlns:ds="http://schemas.openxmlformats.org/officeDocument/2006/customXml" ds:itemID="{74FE74A0-8068-41ED-934C-B6F32F8741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Rate Case Constants</vt:lpstr>
      <vt:lpstr>INPUT</vt:lpstr>
      <vt:lpstr>SCHEDULES===&gt;</vt:lpstr>
      <vt:lpstr>RGS_VFD</vt:lpstr>
      <vt:lpstr>CGS less than 5000cfh</vt:lpstr>
      <vt:lpstr>CGS greater than 5000cfh</vt:lpstr>
      <vt:lpstr>IGS less than 5000cfh</vt:lpstr>
      <vt:lpstr>IGS greater than 5000cfh</vt:lpstr>
      <vt:lpstr>AAGS</vt:lpstr>
      <vt:lpstr>FT</vt:lpstr>
      <vt:lpstr>Intra-Company Special Contract</vt:lpstr>
      <vt:lpstr>DGGS less than 5000cfh</vt:lpstr>
      <vt:lpstr>DGGS greater than 5000cfh</vt:lpstr>
      <vt:lpstr>SGSS - Commercial</vt:lpstr>
      <vt:lpstr>SGSS - Industrial</vt:lpstr>
      <vt:lpstr>LGDS</vt:lpstr>
      <vt:lpstr>AAGS!Print_Area</vt:lpstr>
      <vt:lpstr>'CGS greater than 5000cfh'!Print_Area</vt:lpstr>
      <vt:lpstr>'CGS less than 5000cfh'!Print_Area</vt:lpstr>
      <vt:lpstr>'DGGS greater than 5000cfh'!Print_Area</vt:lpstr>
      <vt:lpstr>'DGGS less than 5000cfh'!Print_Area</vt:lpstr>
      <vt:lpstr>FT!Print_Area</vt:lpstr>
      <vt:lpstr>'IGS greater than 5000cfh'!Print_Area</vt:lpstr>
      <vt:lpstr>'IGS less than 5000cfh'!Print_Area</vt:lpstr>
      <vt:lpstr>INPUT!Print_Area</vt:lpstr>
      <vt:lpstr>'Intra-Company Special Contract'!Print_Area</vt:lpstr>
      <vt:lpstr>LGDS!Print_Area</vt:lpstr>
      <vt:lpstr>RGS_VFD!Print_Area</vt:lpstr>
      <vt:lpstr>'SGSS - Commercial'!Print_Area</vt:lpstr>
      <vt:lpstr>'SGSS - Industrial'!Print_Area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2020-12-02T17:59:21Z</dcterms:created>
  <dcterms:modified xsi:type="dcterms:W3CDTF">2020-12-02T17:59:39Z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2020-12-02T17:59:37Z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a9f424cc-3ade-4dbd-9708-d2e4501a89a6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