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Allocation Summary" sheetId="1" r:id="rId1"/>
    <sheet name="Nov. Load &amp; Alloc" sheetId="2" r:id="rId2"/>
    <sheet name="Dec. Load &amp; Alloc." sheetId="3" r:id="rId3"/>
    <sheet name="Jan Load &amp; Alloc." sheetId="4" r:id="rId4"/>
    <sheet name="Feb Load &amp; Alloc" sheetId="5" r:id="rId5"/>
  </sheets>
  <definedNames/>
  <calcPr fullCalcOnLoad="1"/>
</workbook>
</file>

<file path=xl/sharedStrings.xml><?xml version="1.0" encoding="utf-8"?>
<sst xmlns="http://schemas.openxmlformats.org/spreadsheetml/2006/main" count="508" uniqueCount="60">
  <si>
    <t>Total</t>
  </si>
  <si>
    <t>IGS</t>
  </si>
  <si>
    <t xml:space="preserve"> </t>
  </si>
  <si>
    <t>Rate</t>
  </si>
  <si>
    <t>RGS</t>
  </si>
  <si>
    <t>Res</t>
  </si>
  <si>
    <t>Com</t>
  </si>
  <si>
    <t>CGS</t>
  </si>
  <si>
    <t>Ind</t>
  </si>
  <si>
    <t>Date</t>
  </si>
  <si>
    <t>November</t>
  </si>
  <si>
    <t>Heating</t>
  </si>
  <si>
    <t>Degree Days</t>
  </si>
  <si>
    <t>Storage</t>
  </si>
  <si>
    <t>Withdrawals</t>
  </si>
  <si>
    <t>(Injections)</t>
  </si>
  <si>
    <t>December</t>
  </si>
  <si>
    <t>January</t>
  </si>
  <si>
    <t>February</t>
  </si>
  <si>
    <t xml:space="preserve">  </t>
  </si>
  <si>
    <t>Balance of Working Gas Allocated on the</t>
  </si>
  <si>
    <t>Total Allocation Factor For Underground Storage</t>
  </si>
  <si>
    <t>Percentage of Total</t>
  </si>
  <si>
    <t>Allocation of Underground Storage</t>
  </si>
  <si>
    <t>Total Working Gas Cycled</t>
  </si>
  <si>
    <t>Residential</t>
  </si>
  <si>
    <t>Commercial</t>
  </si>
  <si>
    <t>Industrial</t>
  </si>
  <si>
    <t>Non-Temp Sensitive Load (per Week Day)</t>
  </si>
  <si>
    <t>Non-Temp Sensitive Load (per Weekend Day)</t>
  </si>
  <si>
    <t>Temp Sensitive Load (greater than 23 HDDS)</t>
  </si>
  <si>
    <t>Weekday</t>
  </si>
  <si>
    <t>or Weekend</t>
  </si>
  <si>
    <t>Rate FT</t>
  </si>
  <si>
    <t>5 Percent</t>
  </si>
  <si>
    <t>Balancing</t>
  </si>
  <si>
    <t xml:space="preserve">Total Allocated Withdrawals Thru February 28th </t>
  </si>
  <si>
    <t>Temp Sensitive Load (less than 15 HDDS)</t>
  </si>
  <si>
    <t>Temp Sensitive Load (greater than 15 HDDS)</t>
  </si>
  <si>
    <t>Temp Sensitive Load (greater than 35 HDDS)</t>
  </si>
  <si>
    <t>Temp Sensitive Load (greater than 36 HDDS)</t>
  </si>
  <si>
    <t>Temp Sensitive Load (less than 20 HDDS)</t>
  </si>
  <si>
    <t>Temp Sensitive Load (greater than 20 HDDS)</t>
  </si>
  <si>
    <t>Temp Sensitive Load (greater than 42 HDDS)</t>
  </si>
  <si>
    <t>Temp Sensitive Load (greater than 45 HDDS)</t>
  </si>
  <si>
    <t>Temp Sensitive Load (greater than 50 HDDS)</t>
  </si>
  <si>
    <t>Temp Sensitive Load (less than 18 HDDS)</t>
  </si>
  <si>
    <t>Temp Sensitive Load (greater than 18 HDDS)</t>
  </si>
  <si>
    <t>Temp Sensitive Load (greater than 37 HDDS)</t>
  </si>
  <si>
    <t>Calculated Daily Requirements at 4 Degrees (61 HDDs)</t>
  </si>
  <si>
    <t>Temp Sensitive Load (less than 12 HDDS)</t>
  </si>
  <si>
    <t>Temp Sensitive Load (greater than 12 HDDS)</t>
  </si>
  <si>
    <t>Calculation of Maximum Class Demands On February 26th Design Day (4 Degrees) for Determination of Demand Allocation Factors</t>
  </si>
  <si>
    <t xml:space="preserve">   Basis of 4 Degrees (Feb. 26th)</t>
  </si>
  <si>
    <t>Temp Sensitive Load (greater than 25 HDDS)</t>
  </si>
  <si>
    <t>Temp Sensitive Load (greater than 32 HDDS)</t>
  </si>
  <si>
    <t>Temp Sensitive Load (greater than 40 HDDS)</t>
  </si>
  <si>
    <t>Louisville Gas and Electric Company</t>
  </si>
  <si>
    <t>Page 1 of 1</t>
  </si>
  <si>
    <t>Exhibit WSS-38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</si>
</sst>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0"/>
    <numFmt numFmtId="168" formatCode="#,##0.000"/>
    <numFmt numFmtId="169" formatCode="0.000000"/>
    <numFmt numFmtId="170" formatCode="#,##0.000000"/>
    <numFmt numFmtId="171" formatCode="[$-409]dddd\,\ mmmm\ dd\,\ yyyy"/>
    <numFmt numFmtId="172" formatCode="ddd"/>
    <numFmt numFmtId="173" formatCode="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70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37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 quotePrefix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0" fontId="1" fillId="0" borderId="0" xfId="0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0" fontId="0" fillId="0" borderId="0" xfId="0" applyFill="1" applyAlignment="1" quotePrefix="1">
      <alignment horizontal="right"/>
    </xf>
    <xf numFmtId="169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21.28125" style="0" customWidth="1"/>
    <col min="3" max="9" width="12.7109375" style="0" customWidth="1"/>
    <col min="10" max="10" width="10.140625" style="0" bestFit="1" customWidth="1"/>
  </cols>
  <sheetData>
    <row r="1" spans="1:8" ht="12.75">
      <c r="A1" s="2" t="s">
        <v>57</v>
      </c>
      <c r="H1" s="1" t="s">
        <v>59</v>
      </c>
    </row>
    <row r="2" spans="1:8" ht="12.75">
      <c r="A2" s="27" t="s">
        <v>23</v>
      </c>
      <c r="H2" s="1" t="s">
        <v>58</v>
      </c>
    </row>
    <row r="5" ht="12.75">
      <c r="A5" s="9" t="s">
        <v>2</v>
      </c>
    </row>
    <row r="8" spans="1:8" ht="13.5" customHeight="1">
      <c r="A8" s="20" t="s">
        <v>52</v>
      </c>
      <c r="B8" s="7"/>
      <c r="C8" s="7"/>
      <c r="D8" s="7"/>
      <c r="E8" s="7"/>
      <c r="F8" s="7"/>
      <c r="G8" s="7"/>
      <c r="H8" s="7"/>
    </row>
    <row r="9" spans="1:8" ht="12.75">
      <c r="A9" s="7"/>
      <c r="B9" s="7"/>
      <c r="C9" s="7"/>
      <c r="D9" s="7"/>
      <c r="E9" s="7"/>
      <c r="F9" s="7"/>
      <c r="G9" s="7"/>
      <c r="H9" s="7"/>
    </row>
    <row r="10" spans="1:9" ht="12.75">
      <c r="A10" s="7"/>
      <c r="B10" s="7"/>
      <c r="C10" s="7"/>
      <c r="D10" s="8" t="s">
        <v>25</v>
      </c>
      <c r="E10" s="8" t="s">
        <v>26</v>
      </c>
      <c r="F10" s="8" t="s">
        <v>27</v>
      </c>
      <c r="G10" s="8" t="s">
        <v>33</v>
      </c>
      <c r="H10" s="8"/>
      <c r="I10" s="2"/>
    </row>
    <row r="11" spans="1:10" ht="12.75">
      <c r="A11" s="7"/>
      <c r="B11" s="7"/>
      <c r="C11" s="7"/>
      <c r="D11" s="8" t="s">
        <v>3</v>
      </c>
      <c r="E11" s="8" t="s">
        <v>3</v>
      </c>
      <c r="F11" s="8" t="s">
        <v>3</v>
      </c>
      <c r="G11" s="8" t="s">
        <v>34</v>
      </c>
      <c r="H11" s="8"/>
      <c r="I11" s="1"/>
      <c r="J11" s="1"/>
    </row>
    <row r="12" spans="1:10" ht="12.75">
      <c r="A12" s="7"/>
      <c r="B12" s="7"/>
      <c r="C12" s="8" t="s">
        <v>0</v>
      </c>
      <c r="D12" s="8" t="s">
        <v>4</v>
      </c>
      <c r="E12" s="8" t="s">
        <v>7</v>
      </c>
      <c r="F12" s="8" t="s">
        <v>1</v>
      </c>
      <c r="G12" s="8" t="s">
        <v>35</v>
      </c>
      <c r="H12" s="8"/>
      <c r="I12" s="1"/>
      <c r="J12" s="1"/>
    </row>
    <row r="13" spans="1:10" ht="12.75">
      <c r="A13" s="7"/>
      <c r="B13" s="7"/>
      <c r="C13" s="8"/>
      <c r="D13" s="8"/>
      <c r="E13" s="8"/>
      <c r="F13" s="8"/>
      <c r="G13" s="8"/>
      <c r="H13" s="8"/>
      <c r="I13" s="1"/>
      <c r="J13" s="1"/>
    </row>
    <row r="14" spans="1:11" ht="12.75">
      <c r="A14" s="17" t="s">
        <v>49</v>
      </c>
      <c r="B14" s="7"/>
      <c r="C14" s="6">
        <f>SUM(D14+E14+F14+G14)</f>
        <v>416029</v>
      </c>
      <c r="D14" s="6">
        <f>'Feb Load &amp; Alloc'!H42</f>
        <v>276944</v>
      </c>
      <c r="E14" s="6">
        <f>'Feb Load &amp; Alloc'!I42</f>
        <v>129292</v>
      </c>
      <c r="F14" s="6">
        <f>'Feb Load &amp; Alloc'!J42</f>
        <v>9793</v>
      </c>
      <c r="G14" s="6">
        <f>'Feb Load &amp; Alloc'!M42</f>
        <v>0</v>
      </c>
      <c r="H14" s="6" t="s">
        <v>19</v>
      </c>
      <c r="I14" s="3"/>
      <c r="J14" s="3"/>
      <c r="K14" s="3" t="s">
        <v>2</v>
      </c>
    </row>
    <row r="15" spans="1:8" ht="12.75">
      <c r="A15" s="18"/>
      <c r="B15" s="7"/>
      <c r="C15" s="7"/>
      <c r="D15" s="7"/>
      <c r="E15" s="7"/>
      <c r="F15" s="7"/>
      <c r="G15" s="7"/>
      <c r="H15" s="6" t="s">
        <v>2</v>
      </c>
    </row>
    <row r="16" spans="1:11" ht="12.75">
      <c r="A16" s="7" t="s">
        <v>22</v>
      </c>
      <c r="B16" s="7"/>
      <c r="C16" s="7"/>
      <c r="D16" s="19">
        <f>ROUND(D14/$C$14,4)</f>
        <v>0.6657</v>
      </c>
      <c r="E16" s="19">
        <f>ROUND(E14/$C$14,4)</f>
        <v>0.3108</v>
      </c>
      <c r="F16" s="19">
        <f>ROUND(F14/$C$14,4)</f>
        <v>0.0235</v>
      </c>
      <c r="G16" s="19">
        <f>ROUND(G14/$C$14,4)</f>
        <v>0</v>
      </c>
      <c r="H16" s="6" t="s">
        <v>2</v>
      </c>
      <c r="I16" s="4" t="s">
        <v>2</v>
      </c>
      <c r="J16" s="4"/>
      <c r="K16" s="4" t="s">
        <v>2</v>
      </c>
    </row>
    <row r="17" spans="1:9" ht="12.75">
      <c r="A17" s="7"/>
      <c r="B17" s="7"/>
      <c r="C17" s="7"/>
      <c r="D17" s="19"/>
      <c r="E17" s="19"/>
      <c r="F17" s="19"/>
      <c r="G17" s="19"/>
      <c r="H17" s="19" t="s">
        <v>2</v>
      </c>
      <c r="I17" s="4"/>
    </row>
    <row r="18" spans="1:9" ht="12.75">
      <c r="A18" s="7"/>
      <c r="B18" s="7"/>
      <c r="C18" s="7"/>
      <c r="D18" s="19"/>
      <c r="E18" s="19"/>
      <c r="F18" s="19"/>
      <c r="G18" s="19"/>
      <c r="H18" s="19"/>
      <c r="I18" s="4"/>
    </row>
    <row r="19" spans="1:9" ht="12.75">
      <c r="A19" s="7"/>
      <c r="B19" s="7"/>
      <c r="C19" s="7"/>
      <c r="D19" s="19"/>
      <c r="E19" s="19"/>
      <c r="F19" s="19"/>
      <c r="G19" s="19"/>
      <c r="H19" s="19"/>
      <c r="I19" s="4"/>
    </row>
    <row r="20" spans="1:9" ht="12.75">
      <c r="A20" s="7"/>
      <c r="B20" s="7"/>
      <c r="C20" s="7"/>
      <c r="D20" s="19"/>
      <c r="E20" s="19"/>
      <c r="F20" s="19" t="s">
        <v>2</v>
      </c>
      <c r="G20" s="19"/>
      <c r="H20" s="19"/>
      <c r="I20" s="4"/>
    </row>
    <row r="21" spans="1:8" ht="12.75">
      <c r="A21" s="10" t="s">
        <v>23</v>
      </c>
      <c r="B21" s="7"/>
      <c r="C21" s="7"/>
      <c r="D21" s="7"/>
      <c r="E21" s="7"/>
      <c r="F21" s="7"/>
      <c r="G21" s="7"/>
      <c r="H21" s="7"/>
    </row>
    <row r="22" spans="1:8" ht="12.75">
      <c r="A22" s="7"/>
      <c r="B22" s="7"/>
      <c r="C22" s="7"/>
      <c r="D22" s="7"/>
      <c r="E22" s="7"/>
      <c r="F22" s="7"/>
      <c r="G22" s="7"/>
      <c r="H22" s="7"/>
    </row>
    <row r="23" spans="1:9" ht="12.75">
      <c r="A23" s="7"/>
      <c r="B23" s="7"/>
      <c r="C23" s="8" t="s">
        <v>2</v>
      </c>
      <c r="D23" s="8" t="s">
        <v>25</v>
      </c>
      <c r="E23" s="8" t="s">
        <v>26</v>
      </c>
      <c r="F23" s="8" t="s">
        <v>27</v>
      </c>
      <c r="G23" s="8" t="s">
        <v>33</v>
      </c>
      <c r="H23" s="8"/>
      <c r="I23" s="2"/>
    </row>
    <row r="24" spans="1:10" ht="12.75">
      <c r="A24" s="7"/>
      <c r="B24" s="7"/>
      <c r="C24" s="8" t="s">
        <v>13</v>
      </c>
      <c r="D24" s="8" t="s">
        <v>3</v>
      </c>
      <c r="E24" s="8" t="s">
        <v>3</v>
      </c>
      <c r="F24" s="8" t="s">
        <v>3</v>
      </c>
      <c r="G24" s="8" t="s">
        <v>34</v>
      </c>
      <c r="H24" s="8"/>
      <c r="I24" s="1"/>
      <c r="J24" s="1"/>
    </row>
    <row r="25" spans="1:10" ht="12.75">
      <c r="A25" s="7"/>
      <c r="B25" s="7"/>
      <c r="C25" s="8" t="s">
        <v>14</v>
      </c>
      <c r="D25" s="8" t="s">
        <v>4</v>
      </c>
      <c r="E25" s="8" t="s">
        <v>7</v>
      </c>
      <c r="F25" s="8" t="s">
        <v>1</v>
      </c>
      <c r="G25" s="8" t="s">
        <v>35</v>
      </c>
      <c r="H25" s="8"/>
      <c r="I25" s="1"/>
      <c r="J25" s="1"/>
    </row>
    <row r="26" spans="1:9" ht="12.75">
      <c r="A26" s="7"/>
      <c r="B26" s="7"/>
      <c r="C26" s="8"/>
      <c r="D26" s="8"/>
      <c r="E26" s="8"/>
      <c r="F26" s="8"/>
      <c r="G26" s="8"/>
      <c r="H26" s="8"/>
      <c r="I26" s="1"/>
    </row>
    <row r="27" spans="1:10" ht="12.75">
      <c r="A27" s="17" t="s">
        <v>36</v>
      </c>
      <c r="B27" s="7"/>
      <c r="C27" s="6">
        <f>SUM(D27:G27)</f>
        <v>8316075</v>
      </c>
      <c r="D27" s="6">
        <f>'Nov. Load &amp; Alloc'!H96+'Dec. Load &amp; Alloc.'!H98+'Jan Load &amp; Alloc.'!H98+'Feb Load &amp; Alloc'!H96</f>
        <v>5485002</v>
      </c>
      <c r="E27" s="6">
        <f>'Nov. Load &amp; Alloc'!I96+'Dec. Load &amp; Alloc.'!I98+'Jan Load &amp; Alloc.'!I98+'Feb Load &amp; Alloc'!I96</f>
        <v>2542658</v>
      </c>
      <c r="F27" s="6">
        <f>'Nov. Load &amp; Alloc'!J96+'Dec. Load &amp; Alloc.'!J98+'Jan Load &amp; Alloc.'!J98+'Feb Load &amp; Alloc'!J96</f>
        <v>218439</v>
      </c>
      <c r="G27" s="6">
        <f>'Nov. Load &amp; Alloc'!M96+'Dec. Load &amp; Alloc.'!M98+'Jan Load &amp; Alloc.'!M98+'Feb Load &amp; Alloc'!M96</f>
        <v>69976</v>
      </c>
      <c r="H27" s="6" t="s">
        <v>2</v>
      </c>
      <c r="I27" s="3"/>
      <c r="J27" s="3"/>
    </row>
    <row r="28" spans="1:8" ht="12.75">
      <c r="A28" s="7"/>
      <c r="B28" s="7"/>
      <c r="C28" s="7"/>
      <c r="D28" s="7"/>
      <c r="E28" s="7"/>
      <c r="F28" s="7"/>
      <c r="G28" s="7"/>
      <c r="H28" s="7" t="s">
        <v>2</v>
      </c>
    </row>
    <row r="29" spans="1:8" ht="12.75">
      <c r="A29" s="7" t="s">
        <v>20</v>
      </c>
      <c r="B29" s="7"/>
      <c r="C29" s="7"/>
      <c r="D29" s="7"/>
      <c r="E29" s="7"/>
      <c r="F29" s="7"/>
      <c r="G29" s="7"/>
      <c r="H29" s="7" t="s">
        <v>2</v>
      </c>
    </row>
    <row r="30" spans="1:10" ht="12.75">
      <c r="A30" s="21" t="s">
        <v>53</v>
      </c>
      <c r="B30" s="7"/>
      <c r="C30" s="6">
        <f>C32-C27</f>
        <v>3363925</v>
      </c>
      <c r="D30" s="6">
        <f>D16*$C$30</f>
        <v>2239364.8725</v>
      </c>
      <c r="E30" s="6">
        <f>E16*$C$30</f>
        <v>1045507.89</v>
      </c>
      <c r="F30" s="6">
        <f>F16*$C$30</f>
        <v>79052.2375</v>
      </c>
      <c r="G30" s="6">
        <f>G16*$C$30</f>
        <v>0</v>
      </c>
      <c r="H30" s="6" t="s">
        <v>2</v>
      </c>
      <c r="I30" s="3" t="s">
        <v>2</v>
      </c>
      <c r="J30" s="3"/>
    </row>
    <row r="31" spans="1:9" ht="12.75">
      <c r="A31" s="7"/>
      <c r="B31" s="7"/>
      <c r="C31" s="7"/>
      <c r="D31" s="6"/>
      <c r="E31" s="7"/>
      <c r="F31" s="7"/>
      <c r="G31" s="7"/>
      <c r="H31" s="6" t="s">
        <v>2</v>
      </c>
      <c r="I31" s="3" t="s">
        <v>2</v>
      </c>
    </row>
    <row r="32" spans="1:10" ht="12.75">
      <c r="A32" s="22" t="s">
        <v>24</v>
      </c>
      <c r="B32" s="7"/>
      <c r="C32" s="25">
        <v>11680000</v>
      </c>
      <c r="D32" s="6">
        <f>D27+D30</f>
        <v>7724366.8725000005</v>
      </c>
      <c r="E32" s="6">
        <f>E27+E30</f>
        <v>3588165.89</v>
      </c>
      <c r="F32" s="6">
        <f>F27+F30</f>
        <v>297491.2375</v>
      </c>
      <c r="G32" s="6">
        <f>G27+G30</f>
        <v>69976</v>
      </c>
      <c r="H32" s="6" t="s">
        <v>2</v>
      </c>
      <c r="I32" s="3" t="s">
        <v>2</v>
      </c>
      <c r="J32" s="3"/>
    </row>
    <row r="33" spans="1:8" ht="12.75">
      <c r="A33" s="7"/>
      <c r="B33" s="7"/>
      <c r="C33" s="7"/>
      <c r="D33" s="7"/>
      <c r="E33" s="7"/>
      <c r="F33" s="7"/>
      <c r="G33" s="7"/>
      <c r="H33" s="6" t="s">
        <v>2</v>
      </c>
    </row>
    <row r="34" spans="1:10" ht="12.75">
      <c r="A34" s="7" t="s">
        <v>21</v>
      </c>
      <c r="B34" s="7"/>
      <c r="C34" s="23">
        <f>SUM(D34:G34)</f>
        <v>1</v>
      </c>
      <c r="D34" s="24">
        <f>D32/$C$32</f>
        <v>0.6613327801797946</v>
      </c>
      <c r="E34" s="24">
        <f>E32/$C$32</f>
        <v>0.3072059837328767</v>
      </c>
      <c r="F34" s="24">
        <f>F32/$C$32</f>
        <v>0.025470140196917807</v>
      </c>
      <c r="G34" s="24">
        <f>G32/$C$32</f>
        <v>0.005991095890410959</v>
      </c>
      <c r="H34" s="6" t="s">
        <v>2</v>
      </c>
      <c r="I34" s="5" t="s">
        <v>2</v>
      </c>
      <c r="J34" s="5"/>
    </row>
    <row r="35" spans="1:8" ht="12.75">
      <c r="A35" s="7"/>
      <c r="B35" s="7"/>
      <c r="C35" s="24" t="s">
        <v>2</v>
      </c>
      <c r="D35" s="6" t="s">
        <v>2</v>
      </c>
      <c r="E35" s="7"/>
      <c r="F35" s="7"/>
      <c r="G35" s="7"/>
      <c r="H35" s="7"/>
    </row>
    <row r="36" ht="12.75">
      <c r="B36" t="s">
        <v>2</v>
      </c>
    </row>
    <row r="37" ht="12.75">
      <c r="B37" t="s">
        <v>2</v>
      </c>
    </row>
    <row r="38" ht="12.75">
      <c r="C38" t="s">
        <v>2</v>
      </c>
    </row>
    <row r="40" ht="12.75">
      <c r="B40" t="s">
        <v>2</v>
      </c>
    </row>
    <row r="41" ht="12.75">
      <c r="B41" t="s">
        <v>2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79" r:id="rId1"/>
  <headerFooter alignWithMargins="0">
    <oddHeader>&amp;CLOUISVILLE GAS AND ELECTRIC COMPANY
Summary of Allocation of Underground Storage Investment
Based on Design Winter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10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7109375" style="7" customWidth="1"/>
    <col min="3" max="3" width="6.7109375" style="7" customWidth="1"/>
    <col min="4" max="4" width="3.7109375" style="7" customWidth="1"/>
    <col min="5" max="5" width="12.7109375" style="7" customWidth="1"/>
    <col min="6" max="6" width="4.140625" style="7" customWidth="1"/>
    <col min="7" max="7" width="11.7109375" style="7" customWidth="1"/>
    <col min="8" max="8" width="12.421875" style="7" customWidth="1"/>
    <col min="9" max="9" width="14.00390625" style="7" customWidth="1"/>
    <col min="10" max="10" width="15.00390625" style="7" customWidth="1"/>
    <col min="11" max="11" width="4.00390625" style="7" customWidth="1"/>
    <col min="12" max="12" width="43.00390625" style="7" customWidth="1"/>
    <col min="13" max="13" width="12.28125" style="7" customWidth="1"/>
    <col min="14" max="14" width="12.8515625" style="7" customWidth="1"/>
    <col min="15" max="20" width="9.140625" style="7" customWidth="1"/>
    <col min="21" max="21" width="11.140625" style="7" bestFit="1" customWidth="1"/>
    <col min="22" max="22" width="10.140625" style="7" bestFit="1" customWidth="1"/>
    <col min="23" max="24" width="12.57421875" style="7" bestFit="1" customWidth="1"/>
    <col min="25" max="25" width="11.140625" style="7" bestFit="1" customWidth="1"/>
    <col min="26" max="16384" width="9.140625" style="7" customWidth="1"/>
  </cols>
  <sheetData>
    <row r="1" spans="1:13" ht="12.75">
      <c r="A1" s="7" t="s">
        <v>2</v>
      </c>
      <c r="I1" s="7" t="s">
        <v>2</v>
      </c>
      <c r="M1" s="7" t="s">
        <v>2</v>
      </c>
    </row>
    <row r="3" spans="8:14" ht="12.75">
      <c r="H3" s="8" t="s">
        <v>5</v>
      </c>
      <c r="I3" s="8" t="s">
        <v>6</v>
      </c>
      <c r="J3" s="8" t="s">
        <v>8</v>
      </c>
      <c r="M3" s="8" t="s">
        <v>33</v>
      </c>
      <c r="N3" s="10"/>
    </row>
    <row r="4" spans="8:14" ht="12.75">
      <c r="H4" s="8" t="s">
        <v>3</v>
      </c>
      <c r="I4" s="8" t="s">
        <v>3</v>
      </c>
      <c r="J4" s="8" t="s">
        <v>3</v>
      </c>
      <c r="M4" s="8" t="s">
        <v>34</v>
      </c>
      <c r="N4" s="11"/>
    </row>
    <row r="5" spans="8:14" ht="12.75">
      <c r="H5" s="8" t="s">
        <v>4</v>
      </c>
      <c r="I5" s="8" t="s">
        <v>7</v>
      </c>
      <c r="J5" s="8" t="s">
        <v>1</v>
      </c>
      <c r="M5" s="8" t="s">
        <v>35</v>
      </c>
      <c r="N5" s="8" t="s">
        <v>0</v>
      </c>
    </row>
    <row r="6" spans="8:13" ht="12.75">
      <c r="H6" s="8"/>
      <c r="I6" s="8"/>
      <c r="J6" s="8"/>
      <c r="M6" s="8"/>
    </row>
    <row r="7" spans="1:14" ht="12.75">
      <c r="A7" s="10" t="s">
        <v>28</v>
      </c>
      <c r="H7" s="6">
        <v>18938</v>
      </c>
      <c r="I7" s="6">
        <v>12165</v>
      </c>
      <c r="J7" s="6">
        <v>6202</v>
      </c>
      <c r="L7" s="10" t="s">
        <v>28</v>
      </c>
      <c r="M7" s="6">
        <f>0.05*36136</f>
        <v>1806.8000000000002</v>
      </c>
      <c r="N7" s="6">
        <f>H7+I7+J7+M7</f>
        <v>39111.8</v>
      </c>
    </row>
    <row r="8" spans="1:14" ht="12.75">
      <c r="A8" s="10" t="s">
        <v>29</v>
      </c>
      <c r="H8" s="6">
        <v>18378</v>
      </c>
      <c r="I8" s="6">
        <v>11837</v>
      </c>
      <c r="J8" s="6">
        <v>6092</v>
      </c>
      <c r="L8" s="10" t="s">
        <v>29</v>
      </c>
      <c r="M8" s="6">
        <f>0.05*32200</f>
        <v>1610</v>
      </c>
      <c r="N8" s="6">
        <f>H8+I8+J8+M8</f>
        <v>37917</v>
      </c>
    </row>
    <row r="9" spans="1:14" ht="12.75">
      <c r="A9" s="10" t="s">
        <v>50</v>
      </c>
      <c r="H9" s="6">
        <v>2510</v>
      </c>
      <c r="I9" s="6">
        <v>1245</v>
      </c>
      <c r="J9" s="6">
        <v>0</v>
      </c>
      <c r="L9" s="10" t="s">
        <v>37</v>
      </c>
      <c r="M9" s="6">
        <f>0.05*369</f>
        <v>18.45</v>
      </c>
      <c r="N9" s="6">
        <f>H9+I9+J9+M9</f>
        <v>3773.45</v>
      </c>
    </row>
    <row r="10" spans="1:14" ht="12.75">
      <c r="A10" s="10" t="s">
        <v>51</v>
      </c>
      <c r="H10" s="6">
        <v>1332</v>
      </c>
      <c r="I10" s="6">
        <v>661</v>
      </c>
      <c r="J10" s="6">
        <v>0</v>
      </c>
      <c r="L10" s="10" t="s">
        <v>38</v>
      </c>
      <c r="M10" s="6">
        <f>0.05*234</f>
        <v>11.700000000000001</v>
      </c>
      <c r="N10" s="6">
        <f>H10+I10+J10+M10</f>
        <v>2004.7</v>
      </c>
    </row>
    <row r="11" spans="1:14" ht="12.75">
      <c r="A11" s="10" t="s">
        <v>30</v>
      </c>
      <c r="G11" s="7" t="s">
        <v>2</v>
      </c>
      <c r="H11" s="6">
        <v>865</v>
      </c>
      <c r="I11" s="6">
        <v>429</v>
      </c>
      <c r="J11" s="6">
        <v>0</v>
      </c>
      <c r="L11" s="10" t="s">
        <v>54</v>
      </c>
      <c r="M11" s="6">
        <f>0.05*210</f>
        <v>10.5</v>
      </c>
      <c r="N11" s="6">
        <f>H11+I11+J11+M11</f>
        <v>1304.5</v>
      </c>
    </row>
    <row r="12" ht="12.75">
      <c r="G12" s="7" t="s">
        <v>2</v>
      </c>
    </row>
    <row r="13" spans="3:14" ht="12.75">
      <c r="C13" s="10"/>
      <c r="D13" s="10"/>
      <c r="E13" s="10"/>
      <c r="F13" s="10"/>
      <c r="G13" s="10"/>
      <c r="H13" s="8" t="s">
        <v>5</v>
      </c>
      <c r="I13" s="8" t="s">
        <v>6</v>
      </c>
      <c r="J13" s="8" t="s">
        <v>8</v>
      </c>
      <c r="M13" s="8" t="s">
        <v>33</v>
      </c>
      <c r="N13" s="10"/>
    </row>
    <row r="14" spans="3:14" ht="12.75">
      <c r="C14" s="8" t="s">
        <v>2</v>
      </c>
      <c r="D14" s="10"/>
      <c r="E14" s="8" t="s">
        <v>11</v>
      </c>
      <c r="F14" s="8"/>
      <c r="G14" s="12" t="s">
        <v>31</v>
      </c>
      <c r="H14" s="8" t="s">
        <v>3</v>
      </c>
      <c r="I14" s="8" t="s">
        <v>3</v>
      </c>
      <c r="J14" s="8" t="s">
        <v>3</v>
      </c>
      <c r="M14" s="8" t="s">
        <v>34</v>
      </c>
      <c r="N14" s="10"/>
    </row>
    <row r="15" spans="3:14" ht="12.75">
      <c r="C15" s="12" t="s">
        <v>9</v>
      </c>
      <c r="D15" s="10"/>
      <c r="E15" s="8" t="s">
        <v>12</v>
      </c>
      <c r="F15" s="8"/>
      <c r="G15" s="12" t="s">
        <v>32</v>
      </c>
      <c r="H15" s="8" t="s">
        <v>4</v>
      </c>
      <c r="I15" s="8" t="s">
        <v>7</v>
      </c>
      <c r="J15" s="8" t="s">
        <v>1</v>
      </c>
      <c r="M15" s="8" t="s">
        <v>35</v>
      </c>
      <c r="N15" s="8" t="s">
        <v>0</v>
      </c>
    </row>
    <row r="16" ht="12.75">
      <c r="L16" s="7" t="s">
        <v>2</v>
      </c>
    </row>
    <row r="17" spans="2:14" ht="12.75">
      <c r="B17" s="10" t="s">
        <v>10</v>
      </c>
      <c r="C17" s="7">
        <v>1</v>
      </c>
      <c r="E17" s="7">
        <v>11</v>
      </c>
      <c r="G17" s="26">
        <v>42680</v>
      </c>
      <c r="H17" s="6">
        <f>IF(AND($E17&gt;12,$E17&gt;=23),(H$8+($E17*H$9)+($E17-12)*H$10+($E17-23)*H$11),IF(AND($E17&gt;12,$E17&lt;=23),(H$8+($E17*H$9)+($E17-12)*H$10),H$8+($E17*H$9)))</f>
        <v>45988</v>
      </c>
      <c r="I17" s="6">
        <f>IF(AND($E17&gt;12,$E17&gt;=23),(I$8+($E17*I$9)+($E17-12)*I$10+($E17-23)*I$11),IF(AND($E17&gt;12,$E17&lt;=23),(I$8+($E17*I$9)+($E17-12)*I$10),I$8+($E17*I$9)))</f>
        <v>25532</v>
      </c>
      <c r="J17" s="6">
        <f>IF(AND($E17&gt;12,$E17&gt;=23),(J$8+($E17*J$9)+($E17-12)*J$10+($E17-23)*J$11),IF(AND($E17&gt;12,$E17&lt;=23),(J$8+($E17*J$9)+($E17-12)*J$10),J$8+($E17*J$9)))</f>
        <v>6092</v>
      </c>
      <c r="K17" s="7" t="s">
        <v>2</v>
      </c>
      <c r="L17" s="7" t="s">
        <v>2</v>
      </c>
      <c r="M17" s="6">
        <f>IF(AND($E17&gt;15,$E17&gt;=25),(M$8+($E17*M$9)+($E17-15)*M$10+($E17-25)*M$11),IF(AND($E17&gt;10,$E17&lt;=25),(M$8+($E17*M$9)+($E17-15)*M$10),M$8+($E17*M$9)))</f>
        <v>1766.15</v>
      </c>
      <c r="N17" s="6">
        <f>SUM(H17:M17)</f>
        <v>79378.15</v>
      </c>
    </row>
    <row r="18" spans="3:15" ht="12.75">
      <c r="C18" s="7">
        <v>2</v>
      </c>
      <c r="E18" s="7">
        <v>17</v>
      </c>
      <c r="G18" s="26">
        <v>42681</v>
      </c>
      <c r="H18" s="6">
        <f aca="true" t="shared" si="0" ref="H18:H46">IF(AND($E18&gt;12,$E18&gt;=23),(H$7+($E18*H$9)+($E18-12)*H$10+($E18-23)*H$11),IF(AND($E18&gt;12,$E18&lt;=23),(H$7+($E18*H$9)+($E18-12)*H$10),H$7+($E18*H$9)))</f>
        <v>68268</v>
      </c>
      <c r="I18" s="6">
        <f aca="true" t="shared" si="1" ref="I18:J46">IF(AND($E18&gt;12,$E18&gt;=23),(I$7+($E18*I$9)+($E18-12)*I$10+($E18-23)*I$11),IF(AND($E18&gt;12,$E18&lt;=23),(I$7+($E18*I$9)+($E18-12)*I$10),I$7+($E18*I$9)))</f>
        <v>36635</v>
      </c>
      <c r="J18" s="6">
        <f>IF(AND($E18&gt;12,$E18&gt;=23),(J$7+($E18*J$9)+($E18-12)*J$10+($E18-23)*J$11),IF(AND($E18&gt;12,$E18&lt;=23),(J$7+($E18*J$9)+($E18-12)*J$10),J$7+($E18*J$9)))</f>
        <v>6202</v>
      </c>
      <c r="M18" s="6">
        <f aca="true" t="shared" si="2" ref="M18:M43">IF(AND($E18&gt;15,$E18&gt;=25),(M$7+($E18*M$9)+($E18-15)*M$10+($E18-25)*M$11),IF(AND($E18&gt;10,$E18&lt;=25),(M$7+($E18*M$9)+($E18-15)*M$10),M$7+($E18*M$9)))</f>
        <v>2143.8500000000004</v>
      </c>
      <c r="N18" s="6">
        <f aca="true" t="shared" si="3" ref="N18:N46">SUM(H18:M18)</f>
        <v>113248.85</v>
      </c>
      <c r="O18" s="7" t="s">
        <v>2</v>
      </c>
    </row>
    <row r="19" spans="3:16" ht="12.75">
      <c r="C19" s="7">
        <v>3</v>
      </c>
      <c r="E19" s="7">
        <v>16</v>
      </c>
      <c r="G19" s="26">
        <v>42682</v>
      </c>
      <c r="H19" s="6">
        <f t="shared" si="0"/>
        <v>64426</v>
      </c>
      <c r="I19" s="6">
        <f t="shared" si="1"/>
        <v>34729</v>
      </c>
      <c r="J19" s="6">
        <f t="shared" si="1"/>
        <v>6202</v>
      </c>
      <c r="L19" s="7" t="s">
        <v>2</v>
      </c>
      <c r="M19" s="6">
        <f t="shared" si="2"/>
        <v>2113.7</v>
      </c>
      <c r="N19" s="6">
        <f t="shared" si="3"/>
        <v>107470.7</v>
      </c>
      <c r="P19" s="7" t="s">
        <v>2</v>
      </c>
    </row>
    <row r="20" spans="3:15" ht="12.75">
      <c r="C20" s="7">
        <v>4</v>
      </c>
      <c r="E20" s="7">
        <v>25</v>
      </c>
      <c r="G20" s="26">
        <v>42683</v>
      </c>
      <c r="H20" s="6">
        <f t="shared" si="0"/>
        <v>100734</v>
      </c>
      <c r="I20" s="6">
        <f t="shared" si="1"/>
        <v>52741</v>
      </c>
      <c r="J20" s="6">
        <f t="shared" si="1"/>
        <v>6202</v>
      </c>
      <c r="L20" s="7" t="s">
        <v>2</v>
      </c>
      <c r="M20" s="6">
        <f t="shared" si="2"/>
        <v>2385.05</v>
      </c>
      <c r="N20" s="6">
        <f t="shared" si="3"/>
        <v>162062.05</v>
      </c>
      <c r="O20" s="7" t="s">
        <v>2</v>
      </c>
    </row>
    <row r="21" spans="3:14" ht="12.75">
      <c r="C21" s="7">
        <v>5</v>
      </c>
      <c r="E21" s="7">
        <v>29</v>
      </c>
      <c r="G21" s="26">
        <v>42684</v>
      </c>
      <c r="H21" s="6">
        <f t="shared" si="0"/>
        <v>119562</v>
      </c>
      <c r="I21" s="6">
        <f t="shared" si="1"/>
        <v>62081</v>
      </c>
      <c r="J21" s="6">
        <f t="shared" si="1"/>
        <v>6202</v>
      </c>
      <c r="L21" s="7" t="s">
        <v>2</v>
      </c>
      <c r="M21" s="6">
        <f t="shared" si="2"/>
        <v>2547.6500000000005</v>
      </c>
      <c r="N21" s="6">
        <f t="shared" si="3"/>
        <v>190392.65</v>
      </c>
    </row>
    <row r="22" spans="3:14" ht="12.75">
      <c r="C22" s="7">
        <v>6</v>
      </c>
      <c r="E22" s="7">
        <v>21</v>
      </c>
      <c r="G22" s="26">
        <v>42685</v>
      </c>
      <c r="H22" s="6">
        <f t="shared" si="0"/>
        <v>83636</v>
      </c>
      <c r="I22" s="6">
        <f t="shared" si="1"/>
        <v>44259</v>
      </c>
      <c r="J22" s="6">
        <f t="shared" si="1"/>
        <v>6202</v>
      </c>
      <c r="M22" s="6">
        <f t="shared" si="2"/>
        <v>2264.45</v>
      </c>
      <c r="N22" s="6">
        <f t="shared" si="3"/>
        <v>136361.45</v>
      </c>
    </row>
    <row r="23" spans="3:14" ht="12.75">
      <c r="C23" s="7">
        <v>7</v>
      </c>
      <c r="E23" s="7">
        <v>18</v>
      </c>
      <c r="G23" s="26">
        <v>42686</v>
      </c>
      <c r="H23" s="6">
        <f aca="true" t="shared" si="4" ref="H23:J24">IF(AND($E23&gt;12,$E23&gt;=23),(H$8+($E23*H$9)+($E23-12)*H$10+($E23-23)*H$11),IF(AND($E23&gt;12,$E23&lt;=23),(H$8+($E23*H$9)+($E23-12)*H$10),H$8+($E23*H$9)))</f>
        <v>71550</v>
      </c>
      <c r="I23" s="6">
        <f t="shared" si="4"/>
        <v>38213</v>
      </c>
      <c r="J23" s="6">
        <f t="shared" si="4"/>
        <v>6092</v>
      </c>
      <c r="L23" s="7" t="s">
        <v>2</v>
      </c>
      <c r="M23" s="6">
        <f>IF(AND($E23&gt;15,$E23&gt;=25),(M$8+($E23*M$9)+($E23-15)*M$10+($E23-25)*M$11),IF(AND($E23&gt;10,$E23&lt;=25),(M$8+($E23*M$9)+($E23-15)*M$10),M$8+($E23*M$9)))</f>
        <v>1977.1999999999998</v>
      </c>
      <c r="N23" s="6">
        <f t="shared" si="3"/>
        <v>117832.2</v>
      </c>
    </row>
    <row r="24" spans="3:15" ht="12.75">
      <c r="C24" s="7">
        <v>8</v>
      </c>
      <c r="E24" s="7">
        <v>16</v>
      </c>
      <c r="G24" s="26">
        <v>42687</v>
      </c>
      <c r="H24" s="6">
        <f t="shared" si="4"/>
        <v>63866</v>
      </c>
      <c r="I24" s="6">
        <f t="shared" si="4"/>
        <v>34401</v>
      </c>
      <c r="J24" s="6">
        <f t="shared" si="4"/>
        <v>6092</v>
      </c>
      <c r="L24" s="7" t="s">
        <v>2</v>
      </c>
      <c r="M24" s="6">
        <f>IF(AND($E24&gt;15,$E24&gt;=25),(M$8+($E24*M$9)+($E24-15)*M$10+($E24-25)*M$11),IF(AND($E24&gt;10,$E24&lt;=25),(M$8+($E24*M$9)+($E24-15)*M$10),M$8+($E24*M$9)))</f>
        <v>1916.9</v>
      </c>
      <c r="N24" s="6">
        <f t="shared" si="3"/>
        <v>106275.9</v>
      </c>
      <c r="O24" s="7" t="s">
        <v>2</v>
      </c>
    </row>
    <row r="25" spans="3:14" ht="12.75">
      <c r="C25" s="7">
        <v>9</v>
      </c>
      <c r="E25" s="7">
        <v>13</v>
      </c>
      <c r="G25" s="26">
        <v>42688</v>
      </c>
      <c r="H25" s="6">
        <f t="shared" si="0"/>
        <v>52900</v>
      </c>
      <c r="I25" s="6">
        <f t="shared" si="1"/>
        <v>29011</v>
      </c>
      <c r="J25" s="6">
        <f t="shared" si="1"/>
        <v>6202</v>
      </c>
      <c r="M25" s="6">
        <f t="shared" si="2"/>
        <v>2023.25</v>
      </c>
      <c r="N25" s="6">
        <f t="shared" si="3"/>
        <v>90136.25</v>
      </c>
    </row>
    <row r="26" spans="3:16" ht="12.75">
      <c r="C26" s="7">
        <v>10</v>
      </c>
      <c r="E26" s="7">
        <v>12</v>
      </c>
      <c r="G26" s="26">
        <v>42689</v>
      </c>
      <c r="H26" s="6">
        <f t="shared" si="0"/>
        <v>49058</v>
      </c>
      <c r="I26" s="6">
        <f t="shared" si="1"/>
        <v>27105</v>
      </c>
      <c r="J26" s="6">
        <f t="shared" si="1"/>
        <v>6202</v>
      </c>
      <c r="M26" s="6">
        <f t="shared" si="2"/>
        <v>1993.1000000000004</v>
      </c>
      <c r="N26" s="6">
        <f t="shared" si="3"/>
        <v>84358.1</v>
      </c>
      <c r="P26" s="7" t="s">
        <v>2</v>
      </c>
    </row>
    <row r="27" spans="3:14" ht="12.75">
      <c r="C27" s="7">
        <v>11</v>
      </c>
      <c r="E27" s="7">
        <v>17</v>
      </c>
      <c r="G27" s="26">
        <v>42690</v>
      </c>
      <c r="H27" s="6">
        <f t="shared" si="0"/>
        <v>68268</v>
      </c>
      <c r="I27" s="6">
        <f t="shared" si="1"/>
        <v>36635</v>
      </c>
      <c r="J27" s="6">
        <f t="shared" si="1"/>
        <v>6202</v>
      </c>
      <c r="M27" s="6">
        <f t="shared" si="2"/>
        <v>2143.8500000000004</v>
      </c>
      <c r="N27" s="6">
        <f t="shared" si="3"/>
        <v>113248.85</v>
      </c>
    </row>
    <row r="28" spans="3:14" ht="12.75">
      <c r="C28" s="7">
        <v>12</v>
      </c>
      <c r="E28" s="7">
        <v>30</v>
      </c>
      <c r="G28" s="26">
        <v>42691</v>
      </c>
      <c r="H28" s="6">
        <f t="shared" si="0"/>
        <v>124269</v>
      </c>
      <c r="I28" s="6">
        <f t="shared" si="1"/>
        <v>64416</v>
      </c>
      <c r="J28" s="6">
        <f t="shared" si="1"/>
        <v>6202</v>
      </c>
      <c r="M28" s="6">
        <f t="shared" si="2"/>
        <v>2588.3</v>
      </c>
      <c r="N28" s="6">
        <f t="shared" si="3"/>
        <v>197475.3</v>
      </c>
    </row>
    <row r="29" spans="3:14" ht="12.75">
      <c r="C29" s="7">
        <v>13</v>
      </c>
      <c r="E29" s="7">
        <v>42</v>
      </c>
      <c r="G29" s="26">
        <v>42692</v>
      </c>
      <c r="H29" s="6">
        <f t="shared" si="0"/>
        <v>180753</v>
      </c>
      <c r="I29" s="6">
        <f t="shared" si="1"/>
        <v>92436</v>
      </c>
      <c r="J29" s="6">
        <f t="shared" si="1"/>
        <v>6202</v>
      </c>
      <c r="M29" s="6">
        <v>0</v>
      </c>
      <c r="N29" s="6">
        <f t="shared" si="3"/>
        <v>279391</v>
      </c>
    </row>
    <row r="30" spans="3:15" ht="12.75">
      <c r="C30" s="7">
        <v>14</v>
      </c>
      <c r="E30" s="7">
        <v>27</v>
      </c>
      <c r="G30" s="26">
        <v>42693</v>
      </c>
      <c r="H30" s="6">
        <f aca="true" t="shared" si="5" ref="H30:J31">IF(AND($E30&gt;12,$E30&gt;=23),(H$8+($E30*H$9)+($E30-12)*H$10+($E30-23)*H$11),IF(AND($E30&gt;12,$E30&lt;=23),(H$8+($E30*H$9)+($E30-12)*H$10),H$8+($E30*H$9)))</f>
        <v>109588</v>
      </c>
      <c r="I30" s="6">
        <f t="shared" si="5"/>
        <v>57083</v>
      </c>
      <c r="J30" s="6">
        <f t="shared" si="5"/>
        <v>6092</v>
      </c>
      <c r="M30" s="6">
        <f>IF(AND($E30&gt;15,$E30&gt;=25),(M$8+($E30*M$9)+($E30-15)*M$10+($E30-25)*M$11),IF(AND($E30&gt;10,$E30&lt;=25),(M$8+($E30*M$9)+($E30-15)*M$10),M$8+($E30*M$9)))</f>
        <v>2269.55</v>
      </c>
      <c r="N30" s="6">
        <f t="shared" si="3"/>
        <v>175032.55</v>
      </c>
      <c r="O30" s="7" t="s">
        <v>2</v>
      </c>
    </row>
    <row r="31" spans="3:14" ht="12.75">
      <c r="C31" s="7">
        <v>15</v>
      </c>
      <c r="E31" s="7">
        <v>11</v>
      </c>
      <c r="G31" s="26">
        <v>42694</v>
      </c>
      <c r="H31" s="6">
        <f t="shared" si="5"/>
        <v>45988</v>
      </c>
      <c r="I31" s="6">
        <f t="shared" si="5"/>
        <v>25532</v>
      </c>
      <c r="J31" s="6">
        <f t="shared" si="5"/>
        <v>6092</v>
      </c>
      <c r="M31" s="6">
        <f>IF(AND($E31&gt;15,$E31&gt;=25),(M$8+($E31*M$9)+($E31-15)*M$10+($E31-25)*M$11),IF(AND($E31&gt;10,$E31&lt;=25),(M$8+($E31*M$9)+($E31-15)*M$10),M$8+($E31*M$9)))</f>
        <v>1766.15</v>
      </c>
      <c r="N31" s="6">
        <f t="shared" si="3"/>
        <v>79378.15</v>
      </c>
    </row>
    <row r="32" spans="3:14" ht="12.75">
      <c r="C32" s="7">
        <v>16</v>
      </c>
      <c r="E32" s="7">
        <v>11</v>
      </c>
      <c r="G32" s="26">
        <v>42695</v>
      </c>
      <c r="H32" s="6">
        <f t="shared" si="0"/>
        <v>46548</v>
      </c>
      <c r="I32" s="6">
        <f t="shared" si="1"/>
        <v>25860</v>
      </c>
      <c r="J32" s="6">
        <f t="shared" si="1"/>
        <v>6202</v>
      </c>
      <c r="M32" s="6">
        <f t="shared" si="2"/>
        <v>1962.9500000000003</v>
      </c>
      <c r="N32" s="6">
        <f t="shared" si="3"/>
        <v>80572.95</v>
      </c>
    </row>
    <row r="33" spans="3:14" ht="12.75">
      <c r="C33" s="7">
        <v>17</v>
      </c>
      <c r="E33" s="7">
        <v>10</v>
      </c>
      <c r="G33" s="26">
        <v>42696</v>
      </c>
      <c r="H33" s="6">
        <f t="shared" si="0"/>
        <v>44038</v>
      </c>
      <c r="I33" s="6">
        <f t="shared" si="1"/>
        <v>24615</v>
      </c>
      <c r="J33" s="6">
        <f t="shared" si="1"/>
        <v>6202</v>
      </c>
      <c r="M33" s="6">
        <f t="shared" si="2"/>
        <v>1991.3000000000002</v>
      </c>
      <c r="N33" s="6">
        <f t="shared" si="3"/>
        <v>76846.3</v>
      </c>
    </row>
    <row r="34" spans="3:14" ht="12.75">
      <c r="C34" s="7">
        <v>18</v>
      </c>
      <c r="E34" s="7">
        <v>17</v>
      </c>
      <c r="G34" s="26">
        <v>42697</v>
      </c>
      <c r="H34" s="6">
        <f t="shared" si="0"/>
        <v>68268</v>
      </c>
      <c r="I34" s="6">
        <f t="shared" si="1"/>
        <v>36635</v>
      </c>
      <c r="J34" s="6">
        <f t="shared" si="1"/>
        <v>6202</v>
      </c>
      <c r="M34" s="6">
        <f t="shared" si="2"/>
        <v>2143.8500000000004</v>
      </c>
      <c r="N34" s="6">
        <f t="shared" si="3"/>
        <v>113248.85</v>
      </c>
    </row>
    <row r="35" spans="3:14" ht="12.75">
      <c r="C35" s="7">
        <v>19</v>
      </c>
      <c r="E35" s="7">
        <v>21</v>
      </c>
      <c r="G35" s="26">
        <v>42698</v>
      </c>
      <c r="H35" s="6">
        <f t="shared" si="0"/>
        <v>83636</v>
      </c>
      <c r="I35" s="6">
        <f t="shared" si="1"/>
        <v>44259</v>
      </c>
      <c r="J35" s="6">
        <f t="shared" si="1"/>
        <v>6202</v>
      </c>
      <c r="M35" s="6">
        <f t="shared" si="2"/>
        <v>2264.45</v>
      </c>
      <c r="N35" s="6">
        <f t="shared" si="3"/>
        <v>136361.45</v>
      </c>
    </row>
    <row r="36" spans="3:14" ht="12.75">
      <c r="C36" s="7">
        <v>20</v>
      </c>
      <c r="E36" s="7">
        <v>23</v>
      </c>
      <c r="G36" s="26">
        <v>42699</v>
      </c>
      <c r="H36" s="6">
        <f t="shared" si="0"/>
        <v>91320</v>
      </c>
      <c r="I36" s="6">
        <f t="shared" si="1"/>
        <v>48071</v>
      </c>
      <c r="J36" s="6">
        <f t="shared" si="1"/>
        <v>6202</v>
      </c>
      <c r="M36" s="6">
        <f t="shared" si="2"/>
        <v>2324.75</v>
      </c>
      <c r="N36" s="6">
        <f t="shared" si="3"/>
        <v>147917.75</v>
      </c>
    </row>
    <row r="37" spans="3:14" ht="12.75">
      <c r="C37" s="7">
        <v>21</v>
      </c>
      <c r="E37" s="7">
        <v>26</v>
      </c>
      <c r="G37" s="26">
        <v>42700</v>
      </c>
      <c r="H37" s="6">
        <f aca="true" t="shared" si="6" ref="H37:J38">IF(AND($E37&gt;12,$E37&gt;=23),(H$8+($E37*H$9)+($E37-12)*H$10+($E37-23)*H$11),IF(AND($E37&gt;12,$E37&lt;=23),(H$8+($E37*H$9)+($E37-12)*H$10),H$8+($E37*H$9)))</f>
        <v>104881</v>
      </c>
      <c r="I37" s="6">
        <f t="shared" si="6"/>
        <v>54748</v>
      </c>
      <c r="J37" s="6">
        <f t="shared" si="6"/>
        <v>6092</v>
      </c>
      <c r="M37" s="6">
        <f>IF(AND($E37&gt;15,$E37&gt;=25),(M$8+($E37*M$9)+($E37-15)*M$10+($E37-25)*M$11),IF(AND($E37&gt;10,$E37&lt;=25),(M$8+($E37*M$9)+($E37-15)*M$10),M$8+($E37*M$9)))</f>
        <v>2228.8999999999996</v>
      </c>
      <c r="N37" s="6">
        <f t="shared" si="3"/>
        <v>167949.9</v>
      </c>
    </row>
    <row r="38" spans="3:14" ht="12.75">
      <c r="C38" s="7">
        <v>22</v>
      </c>
      <c r="E38" s="7">
        <v>21</v>
      </c>
      <c r="G38" s="26">
        <v>42701</v>
      </c>
      <c r="H38" s="6">
        <f t="shared" si="6"/>
        <v>83076</v>
      </c>
      <c r="I38" s="6">
        <f t="shared" si="6"/>
        <v>43931</v>
      </c>
      <c r="J38" s="6">
        <f t="shared" si="6"/>
        <v>6092</v>
      </c>
      <c r="M38" s="6">
        <f>IF(AND($E38&gt;15,$E38&gt;=25),(M$8+($E38*M$9)+($E38-15)*M$10+($E38-25)*M$11),IF(AND($E38&gt;10,$E38&lt;=25),(M$8+($E38*M$9)+($E38-15)*M$10),M$8+($E38*M$9)))</f>
        <v>2067.65</v>
      </c>
      <c r="N38" s="6">
        <f t="shared" si="3"/>
        <v>135166.65</v>
      </c>
    </row>
    <row r="39" spans="3:14" ht="12.75">
      <c r="C39" s="7">
        <v>23</v>
      </c>
      <c r="E39" s="7">
        <v>19</v>
      </c>
      <c r="G39" s="26">
        <v>42702</v>
      </c>
      <c r="H39" s="6">
        <f t="shared" si="0"/>
        <v>75952</v>
      </c>
      <c r="I39" s="6">
        <f t="shared" si="1"/>
        <v>40447</v>
      </c>
      <c r="J39" s="6">
        <f t="shared" si="1"/>
        <v>6202</v>
      </c>
      <c r="M39" s="6">
        <f t="shared" si="2"/>
        <v>2204.1500000000005</v>
      </c>
      <c r="N39" s="6">
        <f t="shared" si="3"/>
        <v>124805.15</v>
      </c>
    </row>
    <row r="40" spans="3:14" ht="12.75">
      <c r="C40" s="7">
        <v>24</v>
      </c>
      <c r="E40" s="7">
        <v>17</v>
      </c>
      <c r="G40" s="26">
        <v>42703</v>
      </c>
      <c r="H40" s="6">
        <f t="shared" si="0"/>
        <v>68268</v>
      </c>
      <c r="I40" s="6">
        <f t="shared" si="1"/>
        <v>36635</v>
      </c>
      <c r="J40" s="6">
        <f t="shared" si="1"/>
        <v>6202</v>
      </c>
      <c r="M40" s="6">
        <f t="shared" si="2"/>
        <v>2143.8500000000004</v>
      </c>
      <c r="N40" s="6">
        <f t="shared" si="3"/>
        <v>113248.85</v>
      </c>
    </row>
    <row r="41" spans="3:14" ht="12.75">
      <c r="C41" s="7">
        <v>25</v>
      </c>
      <c r="E41" s="7">
        <v>22</v>
      </c>
      <c r="G41" s="26">
        <v>42704</v>
      </c>
      <c r="H41" s="6">
        <f t="shared" si="0"/>
        <v>87478</v>
      </c>
      <c r="I41" s="6">
        <f t="shared" si="1"/>
        <v>46165</v>
      </c>
      <c r="J41" s="6">
        <f t="shared" si="1"/>
        <v>6202</v>
      </c>
      <c r="M41" s="6">
        <f t="shared" si="2"/>
        <v>2294.6000000000004</v>
      </c>
      <c r="N41" s="6">
        <f t="shared" si="3"/>
        <v>142139.6</v>
      </c>
    </row>
    <row r="42" spans="3:14" ht="12.75">
      <c r="C42" s="7">
        <v>26</v>
      </c>
      <c r="E42" s="7">
        <v>20</v>
      </c>
      <c r="G42" s="26">
        <v>42677</v>
      </c>
      <c r="H42" s="6">
        <f t="shared" si="0"/>
        <v>79794</v>
      </c>
      <c r="I42" s="6">
        <f t="shared" si="1"/>
        <v>42353</v>
      </c>
      <c r="J42" s="6">
        <f t="shared" si="1"/>
        <v>6202</v>
      </c>
      <c r="M42" s="6">
        <f t="shared" si="2"/>
        <v>2234.3</v>
      </c>
      <c r="N42" s="6">
        <f t="shared" si="3"/>
        <v>130583.3</v>
      </c>
    </row>
    <row r="43" spans="3:14" ht="12.75">
      <c r="C43" s="7">
        <v>27</v>
      </c>
      <c r="E43" s="7">
        <v>15</v>
      </c>
      <c r="G43" s="26">
        <v>42678</v>
      </c>
      <c r="H43" s="6">
        <f t="shared" si="0"/>
        <v>60584</v>
      </c>
      <c r="I43" s="6">
        <f t="shared" si="1"/>
        <v>32823</v>
      </c>
      <c r="J43" s="6">
        <f t="shared" si="1"/>
        <v>6202</v>
      </c>
      <c r="M43" s="6">
        <f t="shared" si="2"/>
        <v>2083.55</v>
      </c>
      <c r="N43" s="6">
        <f t="shared" si="3"/>
        <v>101692.55</v>
      </c>
    </row>
    <row r="44" spans="3:14" ht="12.75">
      <c r="C44" s="7">
        <v>28</v>
      </c>
      <c r="E44" s="7">
        <v>8</v>
      </c>
      <c r="G44" s="26">
        <v>42700</v>
      </c>
      <c r="H44" s="6">
        <f aca="true" t="shared" si="7" ref="H44:J45">IF(AND($E44&gt;12,$E44&gt;=23),(H$8+($E44*H$9)+($E44-12)*H$10+($E44-23)*H$11),IF(AND($E44&gt;12,$E44&lt;=23),(H$8+($E44*H$9)+($E44-12)*H$10),H$8+($E44*H$9)))</f>
        <v>38458</v>
      </c>
      <c r="I44" s="6">
        <f t="shared" si="7"/>
        <v>21797</v>
      </c>
      <c r="J44" s="6">
        <f t="shared" si="7"/>
        <v>6092</v>
      </c>
      <c r="M44" s="6">
        <f>IF(AND($E44&gt;15,$E44&gt;=25),(M$8+($E44*M$9)+($E44-15)*M$10+($E44-25)*M$11),IF(AND($E44&gt;10,$E44&lt;=25),(M$8+($E44*M$9)+($E44-15)*M$10),M$8+($E44*M$9)))</f>
        <v>1757.6</v>
      </c>
      <c r="N44" s="6">
        <f t="shared" si="3"/>
        <v>68104.6</v>
      </c>
    </row>
    <row r="45" spans="3:14" ht="12.75">
      <c r="C45" s="7">
        <v>29</v>
      </c>
      <c r="E45" s="7">
        <v>29</v>
      </c>
      <c r="G45" s="26">
        <v>42701</v>
      </c>
      <c r="H45" s="6">
        <f t="shared" si="7"/>
        <v>119002</v>
      </c>
      <c r="I45" s="6">
        <f t="shared" si="7"/>
        <v>61753</v>
      </c>
      <c r="J45" s="6">
        <f t="shared" si="7"/>
        <v>6092</v>
      </c>
      <c r="M45" s="6">
        <f>IF(AND($E45&gt;15,$E45&gt;=25),(M$8+($E45*M$9)+($E45-15)*M$10+($E45-25)*M$11),IF(AND($E45&gt;10,$E45&lt;=25),(M$8+($E45*M$9)+($E45-15)*M$10),M$8+($E45*M$9)))</f>
        <v>2350.8500000000004</v>
      </c>
      <c r="N45" s="6">
        <f t="shared" si="3"/>
        <v>189197.85</v>
      </c>
    </row>
    <row r="46" spans="3:14" ht="12.75">
      <c r="C46" s="7">
        <v>30</v>
      </c>
      <c r="E46" s="7">
        <v>50</v>
      </c>
      <c r="G46" s="26">
        <v>42702</v>
      </c>
      <c r="H46" s="6">
        <f t="shared" si="0"/>
        <v>218409</v>
      </c>
      <c r="I46" s="6">
        <f t="shared" si="1"/>
        <v>111116</v>
      </c>
      <c r="J46" s="6">
        <f t="shared" si="1"/>
        <v>6202</v>
      </c>
      <c r="M46" s="6">
        <v>0</v>
      </c>
      <c r="N46" s="6">
        <f t="shared" si="3"/>
        <v>335727</v>
      </c>
    </row>
    <row r="47" spans="7:10" ht="12.75">
      <c r="G47" s="7" t="s">
        <v>2</v>
      </c>
      <c r="H47" s="6"/>
      <c r="I47" s="6"/>
      <c r="J47" s="6"/>
    </row>
    <row r="48" spans="3:14" ht="12.75">
      <c r="C48" s="13" t="s">
        <v>0</v>
      </c>
      <c r="E48" s="6">
        <f aca="true" t="shared" si="8" ref="E48:J48">SUM(E17:E47)</f>
        <v>614</v>
      </c>
      <c r="F48" s="6"/>
      <c r="G48" s="7" t="s">
        <v>2</v>
      </c>
      <c r="H48" s="6">
        <f t="shared" si="8"/>
        <v>2518566</v>
      </c>
      <c r="I48" s="6">
        <f t="shared" si="8"/>
        <v>1332017</v>
      </c>
      <c r="J48" s="6">
        <f t="shared" si="8"/>
        <v>185070</v>
      </c>
      <c r="M48" s="6">
        <f>SUM(M17:M47)</f>
        <v>59951.9</v>
      </c>
      <c r="N48" s="6">
        <f>SUM(N17:N47)</f>
        <v>4095604.9000000004</v>
      </c>
    </row>
    <row r="49" spans="3:14" ht="12.75">
      <c r="C49" s="13"/>
      <c r="E49" s="6"/>
      <c r="F49" s="6"/>
      <c r="G49" s="7" t="s">
        <v>2</v>
      </c>
      <c r="H49" s="6"/>
      <c r="I49" s="6"/>
      <c r="J49" s="6"/>
      <c r="M49" s="6"/>
      <c r="N49" s="6"/>
    </row>
    <row r="50" spans="3:14" ht="12.75">
      <c r="C50" s="13"/>
      <c r="E50" s="6"/>
      <c r="F50" s="6"/>
      <c r="H50" s="6"/>
      <c r="I50" s="6"/>
      <c r="J50" s="6"/>
      <c r="M50" s="6"/>
      <c r="N50" s="6"/>
    </row>
    <row r="51" spans="3:14" ht="12.75">
      <c r="C51" s="13"/>
      <c r="E51" s="6"/>
      <c r="F51" s="6"/>
      <c r="H51" s="6"/>
      <c r="I51" s="6"/>
      <c r="J51" s="6"/>
      <c r="M51" s="6"/>
      <c r="N51" s="6"/>
    </row>
    <row r="52" spans="3:14" ht="12.75">
      <c r="C52" s="13"/>
      <c r="E52" s="6"/>
      <c r="F52" s="6"/>
      <c r="H52" s="6"/>
      <c r="I52" s="6"/>
      <c r="J52" s="6"/>
      <c r="M52" s="6"/>
      <c r="N52" s="6"/>
    </row>
    <row r="53" spans="3:14" ht="12.75">
      <c r="C53" s="13"/>
      <c r="E53" s="6"/>
      <c r="F53" s="6"/>
      <c r="H53" s="6"/>
      <c r="I53" s="6"/>
      <c r="J53" s="6"/>
      <c r="M53" s="6"/>
      <c r="N53" s="6"/>
    </row>
    <row r="54" spans="3:14" ht="12.75">
      <c r="C54" s="13"/>
      <c r="E54" s="6"/>
      <c r="F54" s="6"/>
      <c r="H54" s="6"/>
      <c r="I54" s="6"/>
      <c r="J54" s="6"/>
      <c r="M54" s="6"/>
      <c r="N54" s="6"/>
    </row>
    <row r="55" spans="3:14" ht="12.75">
      <c r="C55" s="13"/>
      <c r="E55" s="6"/>
      <c r="F55" s="6"/>
      <c r="H55" s="6"/>
      <c r="I55" s="6"/>
      <c r="J55" s="6"/>
      <c r="M55" s="6"/>
      <c r="N55" s="6"/>
    </row>
    <row r="56" spans="3:14" ht="12.75">
      <c r="C56" s="13"/>
      <c r="E56" s="6"/>
      <c r="F56" s="6"/>
      <c r="H56" s="6"/>
      <c r="I56" s="6"/>
      <c r="J56" s="6"/>
      <c r="M56" s="6"/>
      <c r="N56" s="6"/>
    </row>
    <row r="58" ht="12.75">
      <c r="I58" s="7" t="s">
        <v>2</v>
      </c>
    </row>
    <row r="59" spans="9:14" ht="12.75">
      <c r="I59" s="6"/>
      <c r="J59" s="6"/>
      <c r="M59" s="6"/>
      <c r="N59" s="6"/>
    </row>
    <row r="61" spans="3:14" ht="12.75">
      <c r="C61" s="10"/>
      <c r="D61" s="10"/>
      <c r="E61" s="10"/>
      <c r="F61" s="10"/>
      <c r="G61" s="8" t="s">
        <v>13</v>
      </c>
      <c r="H61" s="8" t="s">
        <v>5</v>
      </c>
      <c r="I61" s="8" t="s">
        <v>6</v>
      </c>
      <c r="J61" s="8" t="s">
        <v>8</v>
      </c>
      <c r="M61" s="8" t="s">
        <v>33</v>
      </c>
      <c r="N61" s="8"/>
    </row>
    <row r="62" spans="3:13" ht="12.75">
      <c r="C62" s="8" t="s">
        <v>2</v>
      </c>
      <c r="D62" s="10"/>
      <c r="E62" s="8" t="s">
        <v>11</v>
      </c>
      <c r="F62" s="8"/>
      <c r="G62" s="8" t="s">
        <v>14</v>
      </c>
      <c r="H62" s="8" t="s">
        <v>3</v>
      </c>
      <c r="I62" s="8" t="s">
        <v>3</v>
      </c>
      <c r="J62" s="8" t="s">
        <v>3</v>
      </c>
      <c r="M62" s="8" t="s">
        <v>34</v>
      </c>
    </row>
    <row r="63" spans="3:13" ht="12.75">
      <c r="C63" s="12" t="s">
        <v>9</v>
      </c>
      <c r="D63" s="10"/>
      <c r="E63" s="8" t="s">
        <v>12</v>
      </c>
      <c r="F63" s="8"/>
      <c r="G63" s="8" t="s">
        <v>15</v>
      </c>
      <c r="H63" s="8" t="s">
        <v>4</v>
      </c>
      <c r="I63" s="8" t="s">
        <v>7</v>
      </c>
      <c r="J63" s="8" t="s">
        <v>1</v>
      </c>
      <c r="M63" s="8" t="s">
        <v>35</v>
      </c>
    </row>
    <row r="65" spans="2:25" ht="12.75">
      <c r="B65" s="10" t="s">
        <v>10</v>
      </c>
      <c r="C65" s="7">
        <v>1</v>
      </c>
      <c r="E65" s="7">
        <f>E17</f>
        <v>11</v>
      </c>
      <c r="G65" s="6">
        <v>-28963</v>
      </c>
      <c r="H65" s="6">
        <f>ROUND((H17/N17)*G65,0)</f>
        <v>-16780</v>
      </c>
      <c r="I65" s="6">
        <f>ROUND((I17/N17)*G65,0)</f>
        <v>-9316</v>
      </c>
      <c r="J65" s="6">
        <f>ROUND((J17/N17)*G65,0)</f>
        <v>-2223</v>
      </c>
      <c r="M65" s="6">
        <f>ROUND((M17/N17)*G65,0)</f>
        <v>-644</v>
      </c>
      <c r="N65" s="6" t="s">
        <v>2</v>
      </c>
      <c r="O65" s="14"/>
      <c r="P65" s="14"/>
      <c r="Q65" s="14"/>
      <c r="R65" s="14"/>
      <c r="S65" s="14"/>
      <c r="T65" s="14"/>
      <c r="U65" s="6"/>
      <c r="V65" s="6"/>
      <c r="W65" s="6"/>
      <c r="X65" s="6"/>
      <c r="Y65" s="6"/>
    </row>
    <row r="66" spans="3:25" ht="12.75">
      <c r="C66" s="7">
        <v>2</v>
      </c>
      <c r="E66" s="7">
        <f aca="true" t="shared" si="9" ref="E66:E94">E18</f>
        <v>17</v>
      </c>
      <c r="G66" s="6">
        <v>0</v>
      </c>
      <c r="H66" s="6">
        <f aca="true" t="shared" si="10" ref="H66:H94">ROUND((H18/N18)*G66,0)</f>
        <v>0</v>
      </c>
      <c r="I66" s="6">
        <f aca="true" t="shared" si="11" ref="I66:I94">ROUND((I18/N18)*G66,0)</f>
        <v>0</v>
      </c>
      <c r="J66" s="6">
        <f aca="true" t="shared" si="12" ref="J66:J94">ROUND((J18/N18)*G66,0)</f>
        <v>0</v>
      </c>
      <c r="M66" s="6">
        <f aca="true" t="shared" si="13" ref="M66:M94">ROUND((M18/N18)*G66,0)</f>
        <v>0</v>
      </c>
      <c r="N66" s="6" t="s">
        <v>19</v>
      </c>
      <c r="O66" s="14"/>
      <c r="P66" s="14"/>
      <c r="Q66" s="14"/>
      <c r="R66" s="14"/>
      <c r="S66" s="14"/>
      <c r="T66" s="14"/>
      <c r="U66" s="6"/>
      <c r="V66" s="6"/>
      <c r="W66" s="6"/>
      <c r="X66" s="6"/>
      <c r="Y66" s="6"/>
    </row>
    <row r="67" spans="3:25" ht="12.75">
      <c r="C67" s="7">
        <v>3</v>
      </c>
      <c r="E67" s="7">
        <f t="shared" si="9"/>
        <v>16</v>
      </c>
      <c r="G67" s="6">
        <v>-784</v>
      </c>
      <c r="H67" s="6">
        <f t="shared" si="10"/>
        <v>-470</v>
      </c>
      <c r="I67" s="6">
        <f t="shared" si="11"/>
        <v>-253</v>
      </c>
      <c r="J67" s="6">
        <f t="shared" si="12"/>
        <v>-45</v>
      </c>
      <c r="M67" s="6">
        <f t="shared" si="13"/>
        <v>-15</v>
      </c>
      <c r="N67" s="6" t="s">
        <v>2</v>
      </c>
      <c r="O67" s="14"/>
      <c r="P67" s="14"/>
      <c r="Q67" s="14"/>
      <c r="R67" s="14"/>
      <c r="S67" s="14"/>
      <c r="T67" s="6"/>
      <c r="U67" s="6"/>
      <c r="V67" s="6"/>
      <c r="W67" s="6"/>
      <c r="X67" s="6"/>
      <c r="Y67" s="6"/>
    </row>
    <row r="68" spans="3:25" ht="12.75">
      <c r="C68" s="7">
        <v>4</v>
      </c>
      <c r="E68" s="7">
        <f t="shared" si="9"/>
        <v>25</v>
      </c>
      <c r="G68" s="6">
        <v>0</v>
      </c>
      <c r="H68" s="6">
        <f t="shared" si="10"/>
        <v>0</v>
      </c>
      <c r="I68" s="6">
        <f t="shared" si="11"/>
        <v>0</v>
      </c>
      <c r="J68" s="6">
        <f t="shared" si="12"/>
        <v>0</v>
      </c>
      <c r="M68" s="6">
        <f t="shared" si="13"/>
        <v>0</v>
      </c>
      <c r="N68" s="6" t="s">
        <v>2</v>
      </c>
      <c r="O68" s="14"/>
      <c r="P68" s="14"/>
      <c r="Q68" s="14"/>
      <c r="R68" s="14"/>
      <c r="S68" s="14"/>
      <c r="T68" s="6"/>
      <c r="U68" s="6"/>
      <c r="V68" s="6"/>
      <c r="W68" s="6"/>
      <c r="X68" s="6"/>
      <c r="Y68" s="6"/>
    </row>
    <row r="69" spans="3:25" ht="12.75">
      <c r="C69" s="7">
        <v>5</v>
      </c>
      <c r="E69" s="7">
        <f t="shared" si="9"/>
        <v>29</v>
      </c>
      <c r="G69" s="6">
        <v>0</v>
      </c>
      <c r="H69" s="6">
        <f t="shared" si="10"/>
        <v>0</v>
      </c>
      <c r="I69" s="6">
        <f t="shared" si="11"/>
        <v>0</v>
      </c>
      <c r="J69" s="6">
        <f t="shared" si="12"/>
        <v>0</v>
      </c>
      <c r="M69" s="6">
        <f t="shared" si="13"/>
        <v>0</v>
      </c>
      <c r="N69" s="6" t="s">
        <v>2</v>
      </c>
      <c r="O69" s="14"/>
      <c r="P69" s="14"/>
      <c r="Q69" s="14"/>
      <c r="R69" s="14"/>
      <c r="S69" s="14"/>
      <c r="T69" s="6"/>
      <c r="U69" s="6"/>
      <c r="V69" s="6"/>
      <c r="W69" s="6"/>
      <c r="X69" s="6"/>
      <c r="Y69" s="6"/>
    </row>
    <row r="70" spans="3:25" ht="12.75">
      <c r="C70" s="7">
        <v>6</v>
      </c>
      <c r="E70" s="7">
        <f t="shared" si="9"/>
        <v>21</v>
      </c>
      <c r="G70" s="6">
        <v>0</v>
      </c>
      <c r="H70" s="6">
        <f t="shared" si="10"/>
        <v>0</v>
      </c>
      <c r="I70" s="6">
        <f t="shared" si="11"/>
        <v>0</v>
      </c>
      <c r="J70" s="6">
        <f t="shared" si="12"/>
        <v>0</v>
      </c>
      <c r="M70" s="6">
        <f t="shared" si="13"/>
        <v>0</v>
      </c>
      <c r="N70" s="6" t="s">
        <v>2</v>
      </c>
      <c r="O70" s="14"/>
      <c r="P70" s="14"/>
      <c r="Q70" s="14"/>
      <c r="R70" s="14"/>
      <c r="S70" s="14"/>
      <c r="T70" s="6"/>
      <c r="U70" s="6"/>
      <c r="V70" s="6"/>
      <c r="W70" s="6"/>
      <c r="X70" s="6"/>
      <c r="Y70" s="6"/>
    </row>
    <row r="71" spans="3:25" ht="12.75">
      <c r="C71" s="7">
        <v>7</v>
      </c>
      <c r="E71" s="7">
        <f t="shared" si="9"/>
        <v>18</v>
      </c>
      <c r="G71" s="6">
        <v>0</v>
      </c>
      <c r="H71" s="6">
        <f t="shared" si="10"/>
        <v>0</v>
      </c>
      <c r="I71" s="6">
        <f t="shared" si="11"/>
        <v>0</v>
      </c>
      <c r="J71" s="6">
        <f t="shared" si="12"/>
        <v>0</v>
      </c>
      <c r="M71" s="6">
        <f t="shared" si="13"/>
        <v>0</v>
      </c>
      <c r="N71" s="6" t="s">
        <v>2</v>
      </c>
      <c r="O71" s="14"/>
      <c r="P71" s="14"/>
      <c r="Q71" s="14"/>
      <c r="R71" s="14"/>
      <c r="S71" s="14"/>
      <c r="T71" s="6"/>
      <c r="U71" s="6"/>
      <c r="V71" s="6"/>
      <c r="W71" s="6"/>
      <c r="X71" s="6"/>
      <c r="Y71" s="6"/>
    </row>
    <row r="72" spans="3:25" ht="12.75">
      <c r="C72" s="7">
        <v>8</v>
      </c>
      <c r="E72" s="7">
        <f t="shared" si="9"/>
        <v>16</v>
      </c>
      <c r="G72" s="6">
        <v>-1983</v>
      </c>
      <c r="H72" s="6">
        <f t="shared" si="10"/>
        <v>-1192</v>
      </c>
      <c r="I72" s="6">
        <f t="shared" si="11"/>
        <v>-642</v>
      </c>
      <c r="J72" s="6">
        <f t="shared" si="12"/>
        <v>-114</v>
      </c>
      <c r="M72" s="6">
        <f t="shared" si="13"/>
        <v>-36</v>
      </c>
      <c r="N72" s="6" t="s">
        <v>2</v>
      </c>
      <c r="O72" s="14"/>
      <c r="P72" s="14"/>
      <c r="Q72" s="14"/>
      <c r="R72" s="14"/>
      <c r="S72" s="14"/>
      <c r="T72" s="6"/>
      <c r="U72" s="6"/>
      <c r="V72" s="6"/>
      <c r="W72" s="6"/>
      <c r="X72" s="6"/>
      <c r="Y72" s="6"/>
    </row>
    <row r="73" spans="3:25" ht="12.75">
      <c r="C73" s="7">
        <v>9</v>
      </c>
      <c r="E73" s="7">
        <f t="shared" si="9"/>
        <v>13</v>
      </c>
      <c r="G73" s="6">
        <v>-18179</v>
      </c>
      <c r="H73" s="6">
        <f t="shared" si="10"/>
        <v>-10669</v>
      </c>
      <c r="I73" s="6">
        <f t="shared" si="11"/>
        <v>-5851</v>
      </c>
      <c r="J73" s="6">
        <f t="shared" si="12"/>
        <v>-1251</v>
      </c>
      <c r="M73" s="6">
        <f t="shared" si="13"/>
        <v>-408</v>
      </c>
      <c r="N73" s="6" t="s">
        <v>2</v>
      </c>
      <c r="O73" s="14"/>
      <c r="P73" s="14"/>
      <c r="Q73" s="14"/>
      <c r="R73" s="14"/>
      <c r="S73" s="14"/>
      <c r="T73" s="6"/>
      <c r="U73" s="6"/>
      <c r="V73" s="6"/>
      <c r="W73" s="6"/>
      <c r="X73" s="6"/>
      <c r="Y73" s="6"/>
    </row>
    <row r="74" spans="3:25" ht="12.75">
      <c r="C74" s="7">
        <v>10</v>
      </c>
      <c r="E74" s="7">
        <f t="shared" si="9"/>
        <v>12</v>
      </c>
      <c r="G74" s="6">
        <v>-23973</v>
      </c>
      <c r="H74" s="6">
        <f t="shared" si="10"/>
        <v>-13941</v>
      </c>
      <c r="I74" s="6">
        <f t="shared" si="11"/>
        <v>-7703</v>
      </c>
      <c r="J74" s="6">
        <f t="shared" si="12"/>
        <v>-1762</v>
      </c>
      <c r="M74" s="6">
        <f t="shared" si="13"/>
        <v>-566</v>
      </c>
      <c r="N74" s="6" t="s">
        <v>2</v>
      </c>
      <c r="O74" s="14"/>
      <c r="P74" s="14"/>
      <c r="Q74" s="14"/>
      <c r="R74" s="14"/>
      <c r="S74" s="14"/>
      <c r="T74" s="6"/>
      <c r="U74" s="6"/>
      <c r="V74" s="6"/>
      <c r="W74" s="6"/>
      <c r="X74" s="6"/>
      <c r="Y74" s="6"/>
    </row>
    <row r="75" spans="3:25" ht="12.75">
      <c r="C75" s="7">
        <v>11</v>
      </c>
      <c r="E75" s="7">
        <f t="shared" si="9"/>
        <v>17</v>
      </c>
      <c r="G75" s="6">
        <v>0</v>
      </c>
      <c r="H75" s="6">
        <f t="shared" si="10"/>
        <v>0</v>
      </c>
      <c r="I75" s="6">
        <f t="shared" si="11"/>
        <v>0</v>
      </c>
      <c r="J75" s="6">
        <f t="shared" si="12"/>
        <v>0</v>
      </c>
      <c r="M75" s="6">
        <f t="shared" si="13"/>
        <v>0</v>
      </c>
      <c r="N75" s="6" t="s">
        <v>2</v>
      </c>
      <c r="O75" s="14"/>
      <c r="P75" s="14"/>
      <c r="Q75" s="14"/>
      <c r="R75" s="14"/>
      <c r="S75" s="14"/>
      <c r="T75" s="6"/>
      <c r="U75" s="6"/>
      <c r="V75" s="6"/>
      <c r="W75" s="6"/>
      <c r="X75" s="6"/>
      <c r="Y75" s="6"/>
    </row>
    <row r="76" spans="3:25" ht="12.75">
      <c r="C76" s="7">
        <v>12</v>
      </c>
      <c r="E76" s="7">
        <f t="shared" si="9"/>
        <v>30</v>
      </c>
      <c r="G76" s="6">
        <v>0</v>
      </c>
      <c r="H76" s="6">
        <f t="shared" si="10"/>
        <v>0</v>
      </c>
      <c r="I76" s="6">
        <f t="shared" si="11"/>
        <v>0</v>
      </c>
      <c r="J76" s="6">
        <f t="shared" si="12"/>
        <v>0</v>
      </c>
      <c r="M76" s="6">
        <f t="shared" si="13"/>
        <v>0</v>
      </c>
      <c r="N76" s="6" t="s">
        <v>2</v>
      </c>
      <c r="O76" s="14"/>
      <c r="P76" s="14"/>
      <c r="Q76" s="14"/>
      <c r="R76" s="14"/>
      <c r="S76" s="14"/>
      <c r="T76" s="6"/>
      <c r="U76" s="6"/>
      <c r="V76" s="6"/>
      <c r="W76" s="6"/>
      <c r="X76" s="6"/>
      <c r="Y76" s="6"/>
    </row>
    <row r="77" spans="3:25" ht="12.75">
      <c r="C77" s="7">
        <v>13</v>
      </c>
      <c r="E77" s="7">
        <f t="shared" si="9"/>
        <v>42</v>
      </c>
      <c r="G77" s="6">
        <v>7000</v>
      </c>
      <c r="H77" s="6">
        <f t="shared" si="10"/>
        <v>4529</v>
      </c>
      <c r="I77" s="6">
        <f t="shared" si="11"/>
        <v>2316</v>
      </c>
      <c r="J77" s="6">
        <f t="shared" si="12"/>
        <v>155</v>
      </c>
      <c r="M77" s="6">
        <f t="shared" si="13"/>
        <v>0</v>
      </c>
      <c r="N77" s="6" t="s">
        <v>19</v>
      </c>
      <c r="O77" s="14"/>
      <c r="P77" s="14"/>
      <c r="Q77" s="14"/>
      <c r="R77" s="14"/>
      <c r="S77" s="14"/>
      <c r="T77" s="6"/>
      <c r="U77" s="6"/>
      <c r="V77" s="6"/>
      <c r="W77" s="6"/>
      <c r="X77" s="6"/>
      <c r="Y77" s="6"/>
    </row>
    <row r="78" spans="3:25" ht="12.75">
      <c r="C78" s="7">
        <v>14</v>
      </c>
      <c r="E78" s="7">
        <f t="shared" si="9"/>
        <v>27</v>
      </c>
      <c r="G78" s="6">
        <v>0</v>
      </c>
      <c r="H78" s="6">
        <f t="shared" si="10"/>
        <v>0</v>
      </c>
      <c r="I78" s="6">
        <f t="shared" si="11"/>
        <v>0</v>
      </c>
      <c r="J78" s="6">
        <f t="shared" si="12"/>
        <v>0</v>
      </c>
      <c r="M78" s="6">
        <f t="shared" si="13"/>
        <v>0</v>
      </c>
      <c r="N78" s="6" t="s">
        <v>2</v>
      </c>
      <c r="O78" s="14"/>
      <c r="P78" s="14"/>
      <c r="Q78" s="14"/>
      <c r="R78" s="14"/>
      <c r="S78" s="14"/>
      <c r="T78" s="6"/>
      <c r="U78" s="6"/>
      <c r="V78" s="6"/>
      <c r="W78" s="6"/>
      <c r="X78" s="6"/>
      <c r="Y78" s="6"/>
    </row>
    <row r="79" spans="3:25" ht="12.75">
      <c r="C79" s="7">
        <v>15</v>
      </c>
      <c r="E79" s="7">
        <f t="shared" si="9"/>
        <v>11</v>
      </c>
      <c r="G79" s="6">
        <v>-10184</v>
      </c>
      <c r="H79" s="6">
        <f t="shared" si="10"/>
        <v>-5900</v>
      </c>
      <c r="I79" s="6">
        <f t="shared" si="11"/>
        <v>-3276</v>
      </c>
      <c r="J79" s="6">
        <f t="shared" si="12"/>
        <v>-782</v>
      </c>
      <c r="M79" s="6">
        <f t="shared" si="13"/>
        <v>-227</v>
      </c>
      <c r="N79" s="6" t="s">
        <v>2</v>
      </c>
      <c r="O79" s="14"/>
      <c r="P79" s="14"/>
      <c r="Q79" s="14"/>
      <c r="R79" s="14"/>
      <c r="S79" s="14"/>
      <c r="T79" s="6"/>
      <c r="U79" s="6"/>
      <c r="V79" s="6"/>
      <c r="W79" s="6"/>
      <c r="X79" s="6"/>
      <c r="Y79" s="6"/>
    </row>
    <row r="80" spans="3:25" ht="12.75">
      <c r="C80" s="7">
        <v>16</v>
      </c>
      <c r="E80" s="7">
        <f t="shared" si="9"/>
        <v>11</v>
      </c>
      <c r="G80" s="6">
        <v>-8986</v>
      </c>
      <c r="H80" s="6">
        <f t="shared" si="10"/>
        <v>-5191</v>
      </c>
      <c r="I80" s="6">
        <f t="shared" si="11"/>
        <v>-2884</v>
      </c>
      <c r="J80" s="6">
        <f t="shared" si="12"/>
        <v>-692</v>
      </c>
      <c r="M80" s="6">
        <f t="shared" si="13"/>
        <v>-219</v>
      </c>
      <c r="N80" s="6" t="s">
        <v>2</v>
      </c>
      <c r="O80" s="14"/>
      <c r="P80" s="14"/>
      <c r="Q80" s="14"/>
      <c r="R80" s="14"/>
      <c r="S80" s="14"/>
      <c r="T80" s="6"/>
      <c r="U80" s="6"/>
      <c r="V80" s="6"/>
      <c r="W80" s="6"/>
      <c r="X80" s="6"/>
      <c r="Y80" s="6"/>
    </row>
    <row r="81" spans="3:25" ht="12.75">
      <c r="C81" s="7">
        <v>17</v>
      </c>
      <c r="E81" s="7">
        <f t="shared" si="9"/>
        <v>10</v>
      </c>
      <c r="G81" s="6">
        <v>-12777</v>
      </c>
      <c r="H81" s="6">
        <f t="shared" si="10"/>
        <v>-7322</v>
      </c>
      <c r="I81" s="6">
        <f t="shared" si="11"/>
        <v>-4093</v>
      </c>
      <c r="J81" s="6">
        <f t="shared" si="12"/>
        <v>-1031</v>
      </c>
      <c r="M81" s="6">
        <f t="shared" si="13"/>
        <v>-331</v>
      </c>
      <c r="N81" s="6" t="s">
        <v>2</v>
      </c>
      <c r="O81" s="14"/>
      <c r="P81" s="14"/>
      <c r="Q81" s="14"/>
      <c r="R81" s="14"/>
      <c r="S81" s="14"/>
      <c r="T81" s="6"/>
      <c r="U81" s="6"/>
      <c r="V81" s="6"/>
      <c r="W81" s="6"/>
      <c r="X81" s="6"/>
      <c r="Y81" s="6"/>
    </row>
    <row r="82" spans="3:25" ht="12.75">
      <c r="C82" s="7">
        <v>18</v>
      </c>
      <c r="E82" s="7">
        <f t="shared" si="9"/>
        <v>17</v>
      </c>
      <c r="G82" s="6">
        <v>7257</v>
      </c>
      <c r="H82" s="6">
        <f t="shared" si="10"/>
        <v>4375</v>
      </c>
      <c r="I82" s="6">
        <f t="shared" si="11"/>
        <v>2348</v>
      </c>
      <c r="J82" s="6">
        <f t="shared" si="12"/>
        <v>397</v>
      </c>
      <c r="M82" s="6">
        <f t="shared" si="13"/>
        <v>137</v>
      </c>
      <c r="N82" s="6" t="s">
        <v>2</v>
      </c>
      <c r="O82" s="14"/>
      <c r="P82" s="14"/>
      <c r="Q82" s="14"/>
      <c r="R82" s="14"/>
      <c r="S82" s="14"/>
      <c r="T82" s="6"/>
      <c r="U82" s="6"/>
      <c r="V82" s="6"/>
      <c r="W82" s="6"/>
      <c r="X82" s="6"/>
      <c r="Y82" s="6"/>
    </row>
    <row r="83" spans="3:25" ht="12.75">
      <c r="C83" s="7">
        <v>19</v>
      </c>
      <c r="E83" s="7">
        <f t="shared" si="9"/>
        <v>21</v>
      </c>
      <c r="G83" s="6">
        <v>2330</v>
      </c>
      <c r="H83" s="6">
        <f t="shared" si="10"/>
        <v>1429</v>
      </c>
      <c r="I83" s="6">
        <f t="shared" si="11"/>
        <v>756</v>
      </c>
      <c r="J83" s="6">
        <f t="shared" si="12"/>
        <v>106</v>
      </c>
      <c r="M83" s="6">
        <f t="shared" si="13"/>
        <v>39</v>
      </c>
      <c r="N83" s="6" t="s">
        <v>2</v>
      </c>
      <c r="O83" s="14"/>
      <c r="P83" s="14"/>
      <c r="Q83" s="14"/>
      <c r="R83" s="14"/>
      <c r="S83" s="14"/>
      <c r="T83" s="6"/>
      <c r="U83" s="6"/>
      <c r="V83" s="6"/>
      <c r="W83" s="6"/>
      <c r="X83" s="6"/>
      <c r="Y83" s="6"/>
    </row>
    <row r="84" spans="3:25" ht="12.75">
      <c r="C84" s="7">
        <v>20</v>
      </c>
      <c r="E84" s="7">
        <f t="shared" si="9"/>
        <v>23</v>
      </c>
      <c r="G84" s="6">
        <v>13943</v>
      </c>
      <c r="H84" s="6">
        <f t="shared" si="10"/>
        <v>8608</v>
      </c>
      <c r="I84" s="6">
        <f t="shared" si="11"/>
        <v>4531</v>
      </c>
      <c r="J84" s="6">
        <f t="shared" si="12"/>
        <v>585</v>
      </c>
      <c r="M84" s="6">
        <f t="shared" si="13"/>
        <v>219</v>
      </c>
      <c r="N84" s="6" t="s">
        <v>2</v>
      </c>
      <c r="O84" s="14"/>
      <c r="P84" s="14"/>
      <c r="Q84" s="14"/>
      <c r="R84" s="14"/>
      <c r="S84" s="14"/>
      <c r="T84" s="6"/>
      <c r="U84" s="6"/>
      <c r="V84" s="6"/>
      <c r="W84" s="6"/>
      <c r="X84" s="6"/>
      <c r="Y84" s="6"/>
    </row>
    <row r="85" spans="3:25" ht="12.75">
      <c r="C85" s="7">
        <v>21</v>
      </c>
      <c r="E85" s="7">
        <f t="shared" si="9"/>
        <v>26</v>
      </c>
      <c r="G85" s="6">
        <v>42200</v>
      </c>
      <c r="H85" s="6">
        <f t="shared" si="10"/>
        <v>26353</v>
      </c>
      <c r="I85" s="6">
        <f t="shared" si="11"/>
        <v>13756</v>
      </c>
      <c r="J85" s="6">
        <f t="shared" si="12"/>
        <v>1531</v>
      </c>
      <c r="M85" s="6">
        <f t="shared" si="13"/>
        <v>560</v>
      </c>
      <c r="N85" s="6" t="s">
        <v>2</v>
      </c>
      <c r="O85" s="14"/>
      <c r="P85" s="14"/>
      <c r="Q85" s="14"/>
      <c r="R85" s="14"/>
      <c r="S85" s="14"/>
      <c r="T85" s="6"/>
      <c r="U85" s="6"/>
      <c r="V85" s="6"/>
      <c r="W85" s="6"/>
      <c r="X85" s="6"/>
      <c r="Y85" s="6"/>
    </row>
    <row r="86" spans="3:25" ht="12.75">
      <c r="C86" s="7">
        <v>22</v>
      </c>
      <c r="E86" s="7">
        <f t="shared" si="9"/>
        <v>21</v>
      </c>
      <c r="G86" s="6">
        <v>1132</v>
      </c>
      <c r="H86" s="6">
        <f t="shared" si="10"/>
        <v>696</v>
      </c>
      <c r="I86" s="6">
        <f t="shared" si="11"/>
        <v>368</v>
      </c>
      <c r="J86" s="6">
        <f t="shared" si="12"/>
        <v>51</v>
      </c>
      <c r="M86" s="6">
        <f t="shared" si="13"/>
        <v>17</v>
      </c>
      <c r="N86" s="6" t="s">
        <v>2</v>
      </c>
      <c r="O86" s="14"/>
      <c r="P86" s="14"/>
      <c r="Q86" s="14"/>
      <c r="R86" s="14"/>
      <c r="S86" s="14"/>
      <c r="T86" s="6"/>
      <c r="U86" s="6"/>
      <c r="V86" s="6"/>
      <c r="W86" s="6"/>
      <c r="X86" s="6"/>
      <c r="Y86" s="6"/>
    </row>
    <row r="87" spans="3:25" ht="12.75">
      <c r="C87" s="7">
        <v>23</v>
      </c>
      <c r="E87" s="7">
        <f t="shared" si="9"/>
        <v>19</v>
      </c>
      <c r="G87" s="6">
        <v>0</v>
      </c>
      <c r="H87" s="6">
        <f t="shared" si="10"/>
        <v>0</v>
      </c>
      <c r="I87" s="6">
        <f t="shared" si="11"/>
        <v>0</v>
      </c>
      <c r="J87" s="6">
        <f t="shared" si="12"/>
        <v>0</v>
      </c>
      <c r="M87" s="6">
        <f t="shared" si="13"/>
        <v>0</v>
      </c>
      <c r="N87" s="6" t="s">
        <v>2</v>
      </c>
      <c r="O87" s="14"/>
      <c r="P87" s="14"/>
      <c r="Q87" s="14"/>
      <c r="R87" s="14"/>
      <c r="S87" s="14"/>
      <c r="T87" s="6"/>
      <c r="U87" s="6"/>
      <c r="V87" s="6"/>
      <c r="W87" s="6"/>
      <c r="X87" s="6"/>
      <c r="Y87" s="6"/>
    </row>
    <row r="88" spans="3:25" ht="12.75">
      <c r="C88" s="7">
        <v>24</v>
      </c>
      <c r="E88" s="7">
        <f t="shared" si="9"/>
        <v>17</v>
      </c>
      <c r="G88" s="6">
        <v>0</v>
      </c>
      <c r="H88" s="6">
        <f t="shared" si="10"/>
        <v>0</v>
      </c>
      <c r="I88" s="6">
        <f t="shared" si="11"/>
        <v>0</v>
      </c>
      <c r="J88" s="6">
        <f t="shared" si="12"/>
        <v>0</v>
      </c>
      <c r="M88" s="6">
        <f t="shared" si="13"/>
        <v>0</v>
      </c>
      <c r="N88" s="6" t="s">
        <v>19</v>
      </c>
      <c r="O88" s="14"/>
      <c r="P88" s="14"/>
      <c r="Q88" s="14"/>
      <c r="R88" s="14"/>
      <c r="S88" s="14"/>
      <c r="T88" s="6"/>
      <c r="U88" s="6"/>
      <c r="V88" s="6"/>
      <c r="W88" s="6"/>
      <c r="X88" s="6"/>
      <c r="Y88" s="6"/>
    </row>
    <row r="89" spans="3:25" ht="12.75">
      <c r="C89" s="7">
        <v>25</v>
      </c>
      <c r="E89" s="7">
        <f t="shared" si="9"/>
        <v>22</v>
      </c>
      <c r="G89" s="6">
        <v>8137</v>
      </c>
      <c r="H89" s="6">
        <f t="shared" si="10"/>
        <v>5008</v>
      </c>
      <c r="I89" s="6">
        <f t="shared" si="11"/>
        <v>2643</v>
      </c>
      <c r="J89" s="6">
        <f t="shared" si="12"/>
        <v>355</v>
      </c>
      <c r="M89" s="6">
        <f t="shared" si="13"/>
        <v>131</v>
      </c>
      <c r="N89" s="6" t="s">
        <v>2</v>
      </c>
      <c r="O89" s="14"/>
      <c r="P89" s="14"/>
      <c r="Q89" s="14"/>
      <c r="R89" s="14"/>
      <c r="S89" s="14"/>
      <c r="T89" s="6"/>
      <c r="U89" s="6"/>
      <c r="V89" s="6"/>
      <c r="W89" s="6"/>
      <c r="X89" s="6"/>
      <c r="Y89" s="6"/>
    </row>
    <row r="90" spans="3:25" ht="12.75">
      <c r="C90" s="7">
        <v>26</v>
      </c>
      <c r="E90" s="7">
        <f t="shared" si="9"/>
        <v>20</v>
      </c>
      <c r="G90" s="6">
        <f>-45048+41572</f>
        <v>-3476</v>
      </c>
      <c r="H90" s="6">
        <f t="shared" si="10"/>
        <v>-2124</v>
      </c>
      <c r="I90" s="6">
        <f t="shared" si="11"/>
        <v>-1127</v>
      </c>
      <c r="J90" s="6">
        <f t="shared" si="12"/>
        <v>-165</v>
      </c>
      <c r="M90" s="6">
        <f t="shared" si="13"/>
        <v>-59</v>
      </c>
      <c r="N90" s="6" t="s">
        <v>2</v>
      </c>
      <c r="O90" s="14"/>
      <c r="P90" s="14"/>
      <c r="Q90" s="14"/>
      <c r="R90" s="14"/>
      <c r="S90" s="14"/>
      <c r="T90" s="6"/>
      <c r="U90" s="6"/>
      <c r="V90" s="6"/>
      <c r="W90" s="6"/>
      <c r="X90" s="6"/>
      <c r="Y90" s="6"/>
    </row>
    <row r="91" spans="3:25" ht="12.75">
      <c r="C91" s="7">
        <v>27</v>
      </c>
      <c r="E91" s="7">
        <f t="shared" si="9"/>
        <v>15</v>
      </c>
      <c r="G91" s="6">
        <v>-8785</v>
      </c>
      <c r="H91" s="6">
        <f t="shared" si="10"/>
        <v>-5234</v>
      </c>
      <c r="I91" s="6">
        <f t="shared" si="11"/>
        <v>-2836</v>
      </c>
      <c r="J91" s="6">
        <f t="shared" si="12"/>
        <v>-536</v>
      </c>
      <c r="M91" s="6">
        <f t="shared" si="13"/>
        <v>-180</v>
      </c>
      <c r="N91" s="6" t="s">
        <v>2</v>
      </c>
      <c r="O91" s="14"/>
      <c r="P91" s="14"/>
      <c r="Q91" s="14"/>
      <c r="R91" s="14"/>
      <c r="S91" s="14"/>
      <c r="T91" s="6"/>
      <c r="U91" s="6"/>
      <c r="V91" s="6"/>
      <c r="W91" s="6"/>
      <c r="X91" s="6"/>
      <c r="Y91" s="6"/>
    </row>
    <row r="92" spans="3:25" ht="12.75">
      <c r="C92" s="7">
        <v>28</v>
      </c>
      <c r="E92" s="7">
        <f t="shared" si="9"/>
        <v>8</v>
      </c>
      <c r="G92" s="6">
        <v>-40338</v>
      </c>
      <c r="H92" s="6">
        <f t="shared" si="10"/>
        <v>-22778</v>
      </c>
      <c r="I92" s="6">
        <f t="shared" si="11"/>
        <v>-12910</v>
      </c>
      <c r="J92" s="6">
        <f t="shared" si="12"/>
        <v>-3608</v>
      </c>
      <c r="M92" s="6">
        <f t="shared" si="13"/>
        <v>-1041</v>
      </c>
      <c r="N92" s="6" t="s">
        <v>2</v>
      </c>
      <c r="O92" s="14"/>
      <c r="P92" s="14"/>
      <c r="Q92" s="14"/>
      <c r="R92" s="14"/>
      <c r="S92" s="14"/>
      <c r="T92" s="6"/>
      <c r="U92" s="6"/>
      <c r="V92" s="6"/>
      <c r="W92" s="6"/>
      <c r="X92" s="6"/>
      <c r="Y92" s="6"/>
    </row>
    <row r="93" spans="3:25" ht="12.75">
      <c r="C93" s="7">
        <v>29</v>
      </c>
      <c r="E93" s="7">
        <f t="shared" si="9"/>
        <v>29</v>
      </c>
      <c r="G93" s="6">
        <v>41065</v>
      </c>
      <c r="H93" s="6">
        <f t="shared" si="10"/>
        <v>25829</v>
      </c>
      <c r="I93" s="6">
        <f t="shared" si="11"/>
        <v>13403</v>
      </c>
      <c r="J93" s="6">
        <f t="shared" si="12"/>
        <v>1322</v>
      </c>
      <c r="M93" s="6">
        <f t="shared" si="13"/>
        <v>510</v>
      </c>
      <c r="N93" s="6" t="s">
        <v>2</v>
      </c>
      <c r="O93" s="14"/>
      <c r="P93" s="14"/>
      <c r="Q93" s="14"/>
      <c r="R93" s="14"/>
      <c r="S93" s="14"/>
      <c r="T93" s="6"/>
      <c r="U93" s="6"/>
      <c r="V93" s="6"/>
      <c r="W93" s="6"/>
      <c r="X93" s="6"/>
      <c r="Y93" s="6"/>
    </row>
    <row r="94" spans="3:25" ht="12.75">
      <c r="C94" s="7">
        <v>30</v>
      </c>
      <c r="E94" s="7">
        <f t="shared" si="9"/>
        <v>50</v>
      </c>
      <c r="G94" s="6">
        <v>67564</v>
      </c>
      <c r="H94" s="6">
        <f t="shared" si="10"/>
        <v>43954</v>
      </c>
      <c r="I94" s="6">
        <f t="shared" si="11"/>
        <v>22362</v>
      </c>
      <c r="J94" s="6">
        <f t="shared" si="12"/>
        <v>1248</v>
      </c>
      <c r="M94" s="6">
        <f t="shared" si="13"/>
        <v>0</v>
      </c>
      <c r="N94" s="6" t="s">
        <v>2</v>
      </c>
      <c r="O94" s="14"/>
      <c r="P94" s="14"/>
      <c r="Q94" s="14"/>
      <c r="R94" s="14"/>
      <c r="S94" s="14"/>
      <c r="T94" s="6"/>
      <c r="U94" s="6"/>
      <c r="V94" s="6"/>
      <c r="W94" s="6"/>
      <c r="X94" s="6"/>
      <c r="Y94" s="6"/>
    </row>
    <row r="95" spans="7:25" ht="12.75">
      <c r="G95" s="6"/>
      <c r="M95" s="6"/>
      <c r="N95" s="6" t="s">
        <v>2</v>
      </c>
      <c r="T95" s="6"/>
      <c r="U95" s="6"/>
      <c r="V95" s="6"/>
      <c r="W95" s="6"/>
      <c r="X95" s="6"/>
      <c r="Y95" s="6"/>
    </row>
    <row r="96" spans="3:20" ht="12.75">
      <c r="C96" s="13" t="s">
        <v>0</v>
      </c>
      <c r="E96" s="6">
        <f>SUM(E65:E95)</f>
        <v>614</v>
      </c>
      <c r="F96" s="6"/>
      <c r="G96" s="6">
        <f>SUM(G65:G95)</f>
        <v>32200</v>
      </c>
      <c r="H96" s="6">
        <f>SUM(H65:H95)</f>
        <v>29180</v>
      </c>
      <c r="I96" s="6">
        <f>SUM(I65:I95)</f>
        <v>11592</v>
      </c>
      <c r="J96" s="6">
        <f>SUM(J65:J95)</f>
        <v>-6459</v>
      </c>
      <c r="M96" s="6">
        <f>SUM(M65:M95)</f>
        <v>-2113</v>
      </c>
      <c r="N96" s="6" t="s">
        <v>2</v>
      </c>
      <c r="O96" s="6"/>
      <c r="P96" s="6"/>
      <c r="Q96" s="6"/>
      <c r="T96" s="6"/>
    </row>
    <row r="97" ht="12.75">
      <c r="H97" s="6" t="s">
        <v>2</v>
      </c>
    </row>
    <row r="98" spans="8:14" ht="12.75">
      <c r="H98" s="6" t="s">
        <v>2</v>
      </c>
      <c r="N98" s="6"/>
    </row>
    <row r="99" spans="5:13" ht="12.75">
      <c r="E99" s="7" t="s">
        <v>2</v>
      </c>
      <c r="H99" s="7" t="s">
        <v>2</v>
      </c>
      <c r="M99" s="6" t="s">
        <v>2</v>
      </c>
    </row>
    <row r="101" ht="12.75">
      <c r="L101" s="6" t="s">
        <v>2</v>
      </c>
    </row>
    <row r="106" ht="12.75">
      <c r="N106" s="7" t="s">
        <v>2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64" r:id="rId1"/>
  <headerFooter alignWithMargins="0">
    <oddHeader>&amp;CLOUISVILLE GAS AND ELECTRIC COMPANY
Allocation of Underground Storage Investment
Based on Design Winter
(November)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7109375" style="7" customWidth="1"/>
    <col min="3" max="3" width="6.7109375" style="7" customWidth="1"/>
    <col min="4" max="4" width="3.7109375" style="7" customWidth="1"/>
    <col min="5" max="5" width="12.7109375" style="7" customWidth="1"/>
    <col min="6" max="6" width="4.140625" style="7" customWidth="1"/>
    <col min="7" max="7" width="11.7109375" style="7" customWidth="1"/>
    <col min="8" max="8" width="12.421875" style="7" customWidth="1"/>
    <col min="9" max="9" width="14.00390625" style="7" customWidth="1"/>
    <col min="10" max="10" width="15.00390625" style="7" customWidth="1"/>
    <col min="11" max="11" width="4.00390625" style="7" customWidth="1"/>
    <col min="12" max="12" width="43.00390625" style="7" customWidth="1"/>
    <col min="13" max="13" width="12.28125" style="7" customWidth="1"/>
    <col min="14" max="14" width="12.8515625" style="7" customWidth="1"/>
    <col min="15" max="16384" width="9.140625" style="7" customWidth="1"/>
  </cols>
  <sheetData>
    <row r="1" spans="1:13" ht="12.75">
      <c r="A1" s="7" t="s">
        <v>2</v>
      </c>
      <c r="I1" s="7" t="s">
        <v>2</v>
      </c>
      <c r="M1" s="7" t="s">
        <v>2</v>
      </c>
    </row>
    <row r="3" spans="8:14" ht="12.75">
      <c r="H3" s="8" t="s">
        <v>5</v>
      </c>
      <c r="I3" s="8" t="s">
        <v>6</v>
      </c>
      <c r="J3" s="8" t="s">
        <v>8</v>
      </c>
      <c r="M3" s="8" t="s">
        <v>33</v>
      </c>
      <c r="N3" s="10"/>
    </row>
    <row r="4" spans="8:14" ht="12.75">
      <c r="H4" s="8" t="s">
        <v>3</v>
      </c>
      <c r="I4" s="8" t="s">
        <v>3</v>
      </c>
      <c r="J4" s="8" t="s">
        <v>3</v>
      </c>
      <c r="M4" s="8" t="s">
        <v>34</v>
      </c>
      <c r="N4" s="11"/>
    </row>
    <row r="5" spans="8:14" ht="12.75">
      <c r="H5" s="8" t="s">
        <v>4</v>
      </c>
      <c r="I5" s="8" t="s">
        <v>7</v>
      </c>
      <c r="J5" s="8" t="s">
        <v>1</v>
      </c>
      <c r="M5" s="8" t="s">
        <v>35</v>
      </c>
      <c r="N5" s="8" t="s">
        <v>0</v>
      </c>
    </row>
    <row r="6" spans="1:14" ht="12.75">
      <c r="A6" s="10" t="s">
        <v>28</v>
      </c>
      <c r="H6" s="6">
        <v>21932</v>
      </c>
      <c r="I6" s="6">
        <v>13063</v>
      </c>
      <c r="J6" s="6">
        <v>6415</v>
      </c>
      <c r="L6" s="10" t="s">
        <v>28</v>
      </c>
      <c r="M6" s="6">
        <f>0.05*41200</f>
        <v>2060</v>
      </c>
      <c r="N6" s="6">
        <f aca="true" t="shared" si="0" ref="N6:N11">H6+I6+J6+M6</f>
        <v>43470</v>
      </c>
    </row>
    <row r="7" spans="1:14" ht="12.75">
      <c r="A7" s="10" t="s">
        <v>29</v>
      </c>
      <c r="G7" s="7" t="s">
        <v>2</v>
      </c>
      <c r="H7" s="6">
        <v>19810</v>
      </c>
      <c r="I7" s="6">
        <v>11878</v>
      </c>
      <c r="J7" s="6">
        <v>6020</v>
      </c>
      <c r="L7" s="10" t="s">
        <v>29</v>
      </c>
      <c r="M7" s="6">
        <f>0.05*33200</f>
        <v>1660</v>
      </c>
      <c r="N7" s="6">
        <f t="shared" si="0"/>
        <v>39368</v>
      </c>
    </row>
    <row r="8" spans="1:14" ht="12.75">
      <c r="A8" s="10" t="s">
        <v>37</v>
      </c>
      <c r="F8" s="7" t="s">
        <v>2</v>
      </c>
      <c r="H8" s="6">
        <v>3126</v>
      </c>
      <c r="I8" s="6">
        <v>1357</v>
      </c>
      <c r="J8" s="6">
        <v>22</v>
      </c>
      <c r="L8" s="10" t="s">
        <v>37</v>
      </c>
      <c r="M8" s="6">
        <f>0.05*483</f>
        <v>24.150000000000002</v>
      </c>
      <c r="N8" s="6">
        <f t="shared" si="0"/>
        <v>4529.15</v>
      </c>
    </row>
    <row r="9" spans="1:14" ht="12.75">
      <c r="A9" s="10" t="s">
        <v>38</v>
      </c>
      <c r="F9" s="7" t="s">
        <v>2</v>
      </c>
      <c r="H9" s="6">
        <v>1555</v>
      </c>
      <c r="I9" s="6">
        <v>675</v>
      </c>
      <c r="J9" s="6">
        <v>11</v>
      </c>
      <c r="L9" s="10" t="s">
        <v>38</v>
      </c>
      <c r="M9" s="6">
        <f>0.05*0</f>
        <v>0</v>
      </c>
      <c r="N9" s="6">
        <f t="shared" si="0"/>
        <v>2241</v>
      </c>
    </row>
    <row r="10" spans="1:14" ht="12.75">
      <c r="A10" s="10" t="s">
        <v>54</v>
      </c>
      <c r="F10" s="7" t="s">
        <v>2</v>
      </c>
      <c r="H10" s="6">
        <v>-817</v>
      </c>
      <c r="I10" s="6">
        <v>-355</v>
      </c>
      <c r="J10" s="6">
        <v>-6</v>
      </c>
      <c r="L10" s="10" t="s">
        <v>40</v>
      </c>
      <c r="M10" s="6">
        <f>0.05*236</f>
        <v>11.8</v>
      </c>
      <c r="N10" s="6">
        <f t="shared" si="0"/>
        <v>-1166.2</v>
      </c>
    </row>
    <row r="11" spans="1:14" ht="12.75">
      <c r="A11" s="10" t="s">
        <v>56</v>
      </c>
      <c r="F11" s="7" t="s">
        <v>2</v>
      </c>
      <c r="G11" s="7" t="s">
        <v>2</v>
      </c>
      <c r="H11" s="6">
        <v>1690</v>
      </c>
      <c r="I11" s="6">
        <v>734</v>
      </c>
      <c r="J11" s="6">
        <v>12</v>
      </c>
      <c r="N11" s="6">
        <f t="shared" si="0"/>
        <v>2436</v>
      </c>
    </row>
    <row r="13" spans="3:14" ht="12.75">
      <c r="C13" s="10"/>
      <c r="D13" s="10"/>
      <c r="E13" s="10"/>
      <c r="F13" s="10"/>
      <c r="G13" s="10"/>
      <c r="H13" s="8" t="s">
        <v>5</v>
      </c>
      <c r="I13" s="8" t="s">
        <v>6</v>
      </c>
      <c r="J13" s="8" t="s">
        <v>8</v>
      </c>
      <c r="M13" s="8" t="s">
        <v>33</v>
      </c>
      <c r="N13" s="10"/>
    </row>
    <row r="14" spans="3:14" ht="12.75">
      <c r="C14" s="8" t="s">
        <v>2</v>
      </c>
      <c r="D14" s="10"/>
      <c r="E14" s="8" t="s">
        <v>11</v>
      </c>
      <c r="F14" s="8"/>
      <c r="G14" s="12" t="s">
        <v>31</v>
      </c>
      <c r="H14" s="8" t="s">
        <v>3</v>
      </c>
      <c r="I14" s="8" t="s">
        <v>3</v>
      </c>
      <c r="J14" s="8" t="s">
        <v>3</v>
      </c>
      <c r="M14" s="8" t="s">
        <v>34</v>
      </c>
      <c r="N14" s="10"/>
    </row>
    <row r="15" spans="3:14" ht="12.75">
      <c r="C15" s="12" t="s">
        <v>9</v>
      </c>
      <c r="D15" s="10"/>
      <c r="E15" s="8" t="s">
        <v>12</v>
      </c>
      <c r="F15" s="8"/>
      <c r="G15" s="12" t="s">
        <v>32</v>
      </c>
      <c r="H15" s="8" t="s">
        <v>4</v>
      </c>
      <c r="I15" s="8" t="s">
        <v>7</v>
      </c>
      <c r="J15" s="8" t="s">
        <v>1</v>
      </c>
      <c r="M15" s="8" t="s">
        <v>35</v>
      </c>
      <c r="N15" s="8" t="s">
        <v>0</v>
      </c>
    </row>
    <row r="16" ht="12.75">
      <c r="G16" s="15"/>
    </row>
    <row r="17" spans="2:14" ht="12.75">
      <c r="B17" s="10" t="s">
        <v>16</v>
      </c>
      <c r="C17" s="7">
        <v>1</v>
      </c>
      <c r="E17" s="7">
        <v>44</v>
      </c>
      <c r="G17" s="26">
        <v>42710</v>
      </c>
      <c r="H17" s="6">
        <f>IF(AND($E17&gt;40),(H$6+($E17*H$8)+($E17-15)*H$9+($E17-25)*H$10)+($E17-40)*H$11,IF(AND($E17&gt;25,$E17&gt;=40),(H$6+($E17*H$8)+($E17-15)*H$9+($E17-25)*H$10)+($E17-40)*H$11,IF(AND($E17&gt;15,$E17&gt;=25),(H$6+($E17*H$8)+($E17-15)*H$9+($E17-25)*H$10),IF(AND($E17&gt;15,$E17&lt;=25),(H$6+($E17*H$8)+($E17-15)*H$9),H$6+($E17*H$8)))))</f>
        <v>195808</v>
      </c>
      <c r="I17" s="6">
        <f>IF(AND($E17&gt;40),(I$6+($E17*I$8)+($E17-15)*I$9+($E17-25)*I$10)+($E17-40)*I$11,IF(AND($E17&gt;25,$E17&gt;=40),(I$6+($E17*I$8)+($E17-15)*I$9+($E17-25)*I$10)+($E17-40)*I$11,IF(AND($E17&gt;15,$E17&gt;=25),(I$6+($E17*I$8)+($E17-15)*I$9+($E17-25)*I$10),IF(AND($E17&gt;15,$E17&lt;=25),(I$6+($E17*I$8)+($E17-15)*I$9),I$6+($E17*I$8)))))</f>
        <v>88537</v>
      </c>
      <c r="J17" s="6">
        <f>IF(AND($E17&gt;40),(J$6+($E17*J$8)+($E17-15)*J$9+($E17-25)*J$10)+($E17-40)*J$11,IF(AND($E17&gt;25,$E17&gt;=40),(J$6+($E17*J$8)+($E17-15)*J$9+($E17-25)*J$10)+($E17-40)*J$11,IF(AND($E17&gt;15,$E17&gt;=25),(J$6+($E17*J$8)+($E17-15)*J$9+($E17-25)*J$10),IF(AND($E17&gt;15,$E17&lt;=25),(J$6+($E17*J$8)+($E17-15)*J$9),J$6+($E17*J$8)))))</f>
        <v>7636</v>
      </c>
      <c r="M17" s="6">
        <f>IF(AND($E17&gt;15,$E17&gt;=36),(M$6+($E17*M$8)+($E17-15)*M$9+($E17-36)*M$10),IF(AND($E17&gt;15,$E17&lt;=36),(M$6+($E17*M$8)+($E17-15)*M$9),M$6+($E17*M$8)))</f>
        <v>3217.0000000000005</v>
      </c>
      <c r="N17" s="6">
        <f>SUM(H17:M17)</f>
        <v>295198</v>
      </c>
    </row>
    <row r="18" spans="3:15" ht="12.75">
      <c r="C18" s="7">
        <v>2</v>
      </c>
      <c r="E18" s="7">
        <v>35</v>
      </c>
      <c r="G18" s="26">
        <v>42711</v>
      </c>
      <c r="H18" s="6">
        <f aca="true" t="shared" si="1" ref="H18:J47">IF(AND($E18&gt;40),(H$6+($E18*H$8)+($E18-15)*H$9+($E18-25)*H$10)+($E18-40)*H$11,IF(AND($E18&gt;25,$E18&gt;=40),(H$6+($E18*H$8)+($E18-15)*H$9+($E18-25)*H$10)+($E18-40)*H$11,IF(AND($E18&gt;15,$E18&gt;=25),(H$6+($E18*H$8)+($E18-15)*H$9+($E18-25)*H$10),IF(AND($E18&gt;15,$E18&lt;=25),(H$6+($E18*H$8)+($E18-15)*H$9),H$6+($E18*H$8)))))</f>
        <v>154272</v>
      </c>
      <c r="I18" s="6">
        <f t="shared" si="1"/>
        <v>70508</v>
      </c>
      <c r="J18" s="6">
        <f t="shared" si="1"/>
        <v>7345</v>
      </c>
      <c r="M18" s="6">
        <f aca="true" t="shared" si="2" ref="M18:M47">IF(AND($E18&gt;15,$E18&gt;=36),(M$6+($E18*M$8)+($E18-15)*M$9+($E18-36)*M$10),IF(AND($E18&gt;15,$E18&lt;=36),(M$6+($E18*M$8)+($E18-15)*M$9),M$6+($E18*M$8)))</f>
        <v>2905.25</v>
      </c>
      <c r="N18" s="6">
        <f>SUM(H18:M18)</f>
        <v>235030.25</v>
      </c>
      <c r="O18" s="7" t="s">
        <v>2</v>
      </c>
    </row>
    <row r="19" spans="3:14" ht="12.75">
      <c r="C19" s="7">
        <v>3</v>
      </c>
      <c r="E19" s="7">
        <v>28</v>
      </c>
      <c r="G19" s="26">
        <v>42712</v>
      </c>
      <c r="H19" s="6">
        <f t="shared" si="1"/>
        <v>127224</v>
      </c>
      <c r="I19" s="6">
        <f t="shared" si="1"/>
        <v>58769</v>
      </c>
      <c r="J19" s="6">
        <f t="shared" si="1"/>
        <v>7156</v>
      </c>
      <c r="M19" s="6">
        <f t="shared" si="2"/>
        <v>2736.2</v>
      </c>
      <c r="N19" s="6">
        <f aca="true" t="shared" si="3" ref="N19:N47">SUM(H19:M19)</f>
        <v>195885.2</v>
      </c>
    </row>
    <row r="20" spans="3:15" ht="12.75">
      <c r="C20" s="7">
        <v>4</v>
      </c>
      <c r="E20" s="7">
        <v>26</v>
      </c>
      <c r="G20" s="26">
        <v>42713</v>
      </c>
      <c r="H20" s="6">
        <f t="shared" si="1"/>
        <v>119496</v>
      </c>
      <c r="I20" s="6">
        <f t="shared" si="1"/>
        <v>55415</v>
      </c>
      <c r="J20" s="6">
        <f t="shared" si="1"/>
        <v>7102</v>
      </c>
      <c r="M20" s="6">
        <f t="shared" si="2"/>
        <v>2687.9</v>
      </c>
      <c r="N20" s="6">
        <f t="shared" si="3"/>
        <v>184700.9</v>
      </c>
      <c r="O20" s="7" t="s">
        <v>2</v>
      </c>
    </row>
    <row r="21" spans="3:17" ht="12.75">
      <c r="C21" s="7">
        <v>5</v>
      </c>
      <c r="E21" s="7">
        <v>35</v>
      </c>
      <c r="G21" s="26">
        <v>42714</v>
      </c>
      <c r="H21" s="6">
        <f aca="true" t="shared" si="4" ref="H21:J22">IF(AND($E21&gt;40),(H$7+($E21*H$8)+($E21-15)*H$9+($E21-25)*H$10)+($E21-40)*H$11,IF(AND($E21&gt;25,$E21&gt;=40),(H$7+($E21*H$8)+($E21-15)*H$9+($E21-25)*H$10)+($E21-40)*H$11,IF(AND($E21&gt;15,$E21&gt;=25),(H$7+($E21*H$8)+($E21-15)*H$9+($E21-25)*H$10),IF(AND($E21&gt;15,$E21&lt;=25),(H$7+($E21*H$8)+($E21-15)*H$9),H$7+($E21*H$8)))))</f>
        <v>152150</v>
      </c>
      <c r="I21" s="6">
        <f t="shared" si="4"/>
        <v>69323</v>
      </c>
      <c r="J21" s="6">
        <f t="shared" si="4"/>
        <v>6950</v>
      </c>
      <c r="M21" s="6">
        <f>IF(AND($E21&gt;15,$E21&gt;=36),(M$7+($E21*M$8)+($E21-15)*M$9+($E21-36)*M$10),IF(AND($E21&gt;15,$E21&lt;=36),(M$7+($E21*M$8)+($E21-15)*M$9),M$7+($E21*M$8)))</f>
        <v>2505.25</v>
      </c>
      <c r="N21" s="6">
        <f t="shared" si="3"/>
        <v>230928.25</v>
      </c>
      <c r="Q21" s="7" t="s">
        <v>2</v>
      </c>
    </row>
    <row r="22" spans="3:14" ht="12.75">
      <c r="C22" s="7">
        <v>6</v>
      </c>
      <c r="E22" s="7">
        <v>50</v>
      </c>
      <c r="G22" s="26">
        <v>42715</v>
      </c>
      <c r="H22" s="6">
        <f t="shared" si="4"/>
        <v>227010</v>
      </c>
      <c r="I22" s="6">
        <f t="shared" si="4"/>
        <v>101818</v>
      </c>
      <c r="J22" s="6">
        <f t="shared" si="4"/>
        <v>7475</v>
      </c>
      <c r="M22" s="6">
        <f>IF(AND($E22&gt;15,$E22&gt;=36),(M$7+($E22*M$8)+($E22-15)*M$9+($E22-36)*M$10),IF(AND($E22&gt;15,$E22&lt;=36),(M$7+($E22*M$8)+($E22-15)*M$9),M$7+($E22*M$8)))</f>
        <v>3032.7</v>
      </c>
      <c r="N22" s="6">
        <f t="shared" si="3"/>
        <v>339335.7</v>
      </c>
    </row>
    <row r="23" spans="3:14" ht="12.75">
      <c r="C23" s="7">
        <v>7</v>
      </c>
      <c r="E23" s="7">
        <v>62</v>
      </c>
      <c r="G23" s="26">
        <v>42716</v>
      </c>
      <c r="H23" s="6">
        <f t="shared" si="1"/>
        <v>295780</v>
      </c>
      <c r="I23" s="6">
        <f t="shared" si="1"/>
        <v>131935</v>
      </c>
      <c r="J23" s="6">
        <f t="shared" si="1"/>
        <v>8338</v>
      </c>
      <c r="L23" s="7" t="s">
        <v>2</v>
      </c>
      <c r="M23" s="6">
        <v>0</v>
      </c>
      <c r="N23" s="6">
        <f t="shared" si="3"/>
        <v>436053</v>
      </c>
    </row>
    <row r="24" spans="3:15" ht="12.75">
      <c r="C24" s="7">
        <v>8</v>
      </c>
      <c r="E24" s="7">
        <v>49</v>
      </c>
      <c r="G24" s="26">
        <v>42717</v>
      </c>
      <c r="H24" s="6">
        <f t="shared" si="1"/>
        <v>223578</v>
      </c>
      <c r="I24" s="6">
        <f t="shared" si="1"/>
        <v>100592</v>
      </c>
      <c r="J24" s="6">
        <f t="shared" si="1"/>
        <v>7831</v>
      </c>
      <c r="L24" s="7" t="s">
        <v>2</v>
      </c>
      <c r="M24" s="6">
        <f t="shared" si="2"/>
        <v>3396.7500000000005</v>
      </c>
      <c r="N24" s="6">
        <f t="shared" si="3"/>
        <v>335397.75</v>
      </c>
      <c r="O24" s="7" t="s">
        <v>2</v>
      </c>
    </row>
    <row r="25" spans="3:14" ht="12.75">
      <c r="C25" s="7">
        <v>9</v>
      </c>
      <c r="E25" s="7">
        <v>34</v>
      </c>
      <c r="G25" s="26">
        <v>42718</v>
      </c>
      <c r="H25" s="6">
        <f t="shared" si="1"/>
        <v>150408</v>
      </c>
      <c r="I25" s="6">
        <f t="shared" si="1"/>
        <v>68831</v>
      </c>
      <c r="J25" s="6">
        <f t="shared" si="1"/>
        <v>7318</v>
      </c>
      <c r="M25" s="6">
        <f t="shared" si="2"/>
        <v>2881.1</v>
      </c>
      <c r="N25" s="6">
        <f t="shared" si="3"/>
        <v>229438.1</v>
      </c>
    </row>
    <row r="26" spans="3:16" ht="12.75">
      <c r="C26" s="7">
        <v>10</v>
      </c>
      <c r="E26" s="7">
        <v>37</v>
      </c>
      <c r="G26" s="26">
        <v>42719</v>
      </c>
      <c r="H26" s="6">
        <f t="shared" si="1"/>
        <v>162000</v>
      </c>
      <c r="I26" s="6">
        <f t="shared" si="1"/>
        <v>73862</v>
      </c>
      <c r="J26" s="6">
        <f t="shared" si="1"/>
        <v>7399</v>
      </c>
      <c r="M26" s="6">
        <f t="shared" si="2"/>
        <v>2965.3500000000004</v>
      </c>
      <c r="N26" s="6">
        <f t="shared" si="3"/>
        <v>246226.35</v>
      </c>
      <c r="P26" s="7" t="s">
        <v>2</v>
      </c>
    </row>
    <row r="27" spans="3:14" ht="12.75">
      <c r="C27" s="7">
        <v>11</v>
      </c>
      <c r="E27" s="7">
        <v>35</v>
      </c>
      <c r="G27" s="26">
        <v>42720</v>
      </c>
      <c r="H27" s="6">
        <f t="shared" si="1"/>
        <v>154272</v>
      </c>
      <c r="I27" s="6">
        <f t="shared" si="1"/>
        <v>70508</v>
      </c>
      <c r="J27" s="6">
        <f t="shared" si="1"/>
        <v>7345</v>
      </c>
      <c r="M27" s="6">
        <f t="shared" si="2"/>
        <v>2905.25</v>
      </c>
      <c r="N27" s="6">
        <f t="shared" si="3"/>
        <v>235030.25</v>
      </c>
    </row>
    <row r="28" spans="3:14" ht="12.75">
      <c r="C28" s="7">
        <v>12</v>
      </c>
      <c r="E28" s="7">
        <v>28</v>
      </c>
      <c r="G28" s="26">
        <v>42721</v>
      </c>
      <c r="H28" s="6">
        <f aca="true" t="shared" si="5" ref="H28:J29">IF(AND($E28&gt;40),(H$7+($E28*H$8)+($E28-15)*H$9+($E28-25)*H$10)+($E28-40)*H$11,IF(AND($E28&gt;25,$E28&gt;=40),(H$7+($E28*H$8)+($E28-15)*H$9+($E28-25)*H$10)+($E28-40)*H$11,IF(AND($E28&gt;15,$E28&gt;=25),(H$7+($E28*H$8)+($E28-15)*H$9+($E28-25)*H$10),IF(AND($E28&gt;15,$E28&lt;=25),(H$7+($E28*H$8)+($E28-15)*H$9),H$7+($E28*H$8)))))</f>
        <v>125102</v>
      </c>
      <c r="I28" s="6">
        <f t="shared" si="5"/>
        <v>57584</v>
      </c>
      <c r="J28" s="6">
        <f t="shared" si="5"/>
        <v>6761</v>
      </c>
      <c r="M28" s="6">
        <f>IF(AND($E28&gt;15,$E28&gt;=36),(M$7+($E28*M$8)+($E28-15)*M$9+($E28-36)*M$10),IF(AND($E28&gt;15,$E28&lt;=36),(M$7+($E28*M$8)+($E28-15)*M$9),M$7+($E28*M$8)))</f>
        <v>2336.2</v>
      </c>
      <c r="N28" s="6">
        <f t="shared" si="3"/>
        <v>191783.2</v>
      </c>
    </row>
    <row r="29" spans="3:18" ht="12.75">
      <c r="C29" s="7">
        <v>13</v>
      </c>
      <c r="E29" s="7">
        <v>33</v>
      </c>
      <c r="G29" s="26">
        <v>42722</v>
      </c>
      <c r="H29" s="6">
        <f t="shared" si="5"/>
        <v>144422</v>
      </c>
      <c r="I29" s="6">
        <f t="shared" si="5"/>
        <v>65969</v>
      </c>
      <c r="J29" s="6">
        <f t="shared" si="5"/>
        <v>6896</v>
      </c>
      <c r="M29" s="6">
        <f>IF(AND($E29&gt;15,$E29&gt;=36),(M$7+($E29*M$8)+($E29-15)*M$9+($E29-36)*M$10),IF(AND($E29&gt;15,$E29&lt;=36),(M$7+($E29*M$8)+($E29-15)*M$9),M$7+($E29*M$8)))</f>
        <v>2456.95</v>
      </c>
      <c r="N29" s="6">
        <f t="shared" si="3"/>
        <v>219743.95</v>
      </c>
      <c r="R29" s="18"/>
    </row>
    <row r="30" spans="3:15" ht="12.75">
      <c r="C30" s="7">
        <v>14</v>
      </c>
      <c r="E30" s="7">
        <v>23</v>
      </c>
      <c r="G30" s="26">
        <v>42723</v>
      </c>
      <c r="H30" s="6">
        <f t="shared" si="1"/>
        <v>106270</v>
      </c>
      <c r="I30" s="6">
        <f t="shared" si="1"/>
        <v>49674</v>
      </c>
      <c r="J30" s="6">
        <f t="shared" si="1"/>
        <v>7009</v>
      </c>
      <c r="M30" s="6">
        <f t="shared" si="2"/>
        <v>2615.45</v>
      </c>
      <c r="N30" s="6">
        <f t="shared" si="3"/>
        <v>165568.45</v>
      </c>
      <c r="O30" s="7" t="s">
        <v>2</v>
      </c>
    </row>
    <row r="31" spans="3:14" ht="12.75">
      <c r="C31" s="7">
        <v>15</v>
      </c>
      <c r="E31" s="7">
        <v>24</v>
      </c>
      <c r="G31" s="26">
        <v>42724</v>
      </c>
      <c r="H31" s="6">
        <f t="shared" si="1"/>
        <v>110951</v>
      </c>
      <c r="I31" s="6">
        <f t="shared" si="1"/>
        <v>51706</v>
      </c>
      <c r="J31" s="6">
        <f t="shared" si="1"/>
        <v>7042</v>
      </c>
      <c r="M31" s="6">
        <f t="shared" si="2"/>
        <v>2639.6</v>
      </c>
      <c r="N31" s="6">
        <f t="shared" si="3"/>
        <v>172338.6</v>
      </c>
    </row>
    <row r="32" spans="3:14" ht="12.75">
      <c r="C32" s="7">
        <v>16</v>
      </c>
      <c r="E32" s="7">
        <v>28</v>
      </c>
      <c r="G32" s="26">
        <v>42725</v>
      </c>
      <c r="H32" s="6">
        <f t="shared" si="1"/>
        <v>127224</v>
      </c>
      <c r="I32" s="6">
        <f t="shared" si="1"/>
        <v>58769</v>
      </c>
      <c r="J32" s="6">
        <f t="shared" si="1"/>
        <v>7156</v>
      </c>
      <c r="M32" s="6">
        <f t="shared" si="2"/>
        <v>2736.2</v>
      </c>
      <c r="N32" s="6">
        <f t="shared" si="3"/>
        <v>195885.2</v>
      </c>
    </row>
    <row r="33" spans="3:14" ht="12.75">
      <c r="C33" s="7">
        <v>17</v>
      </c>
      <c r="E33" s="7">
        <v>29</v>
      </c>
      <c r="G33" s="26">
        <v>42726</v>
      </c>
      <c r="H33" s="6">
        <f t="shared" si="1"/>
        <v>131088</v>
      </c>
      <c r="I33" s="6">
        <f t="shared" si="1"/>
        <v>60446</v>
      </c>
      <c r="J33" s="6">
        <f t="shared" si="1"/>
        <v>7183</v>
      </c>
      <c r="M33" s="6">
        <f t="shared" si="2"/>
        <v>2760.35</v>
      </c>
      <c r="N33" s="6">
        <f t="shared" si="3"/>
        <v>201477.35</v>
      </c>
    </row>
    <row r="34" spans="3:14" ht="12.75">
      <c r="C34" s="7">
        <v>18</v>
      </c>
      <c r="E34" s="7">
        <v>33</v>
      </c>
      <c r="G34" s="26">
        <v>42727</v>
      </c>
      <c r="H34" s="6">
        <f t="shared" si="1"/>
        <v>146544</v>
      </c>
      <c r="I34" s="6">
        <f t="shared" si="1"/>
        <v>67154</v>
      </c>
      <c r="J34" s="6">
        <f t="shared" si="1"/>
        <v>7291</v>
      </c>
      <c r="M34" s="6">
        <f t="shared" si="2"/>
        <v>2856.95</v>
      </c>
      <c r="N34" s="6">
        <f t="shared" si="3"/>
        <v>223845.95</v>
      </c>
    </row>
    <row r="35" spans="3:14" ht="12.75">
      <c r="C35" s="7">
        <v>19</v>
      </c>
      <c r="E35" s="7">
        <v>24</v>
      </c>
      <c r="G35" s="26">
        <v>42728</v>
      </c>
      <c r="H35" s="6">
        <f aca="true" t="shared" si="6" ref="H35:J36">IF(AND($E35&gt;40),(H$7+($E35*H$8)+($E35-15)*H$9+($E35-25)*H$10)+($E35-40)*H$11,IF(AND($E35&gt;25,$E35&gt;=40),(H$7+($E35*H$8)+($E35-15)*H$9+($E35-25)*H$10)+($E35-40)*H$11,IF(AND($E35&gt;15,$E35&gt;=25),(H$7+($E35*H$8)+($E35-15)*H$9+($E35-25)*H$10),IF(AND($E35&gt;15,$E35&lt;=25),(H$7+($E35*H$8)+($E35-15)*H$9),H$7+($E35*H$8)))))</f>
        <v>108829</v>
      </c>
      <c r="I35" s="6">
        <f t="shared" si="6"/>
        <v>50521</v>
      </c>
      <c r="J35" s="6">
        <f t="shared" si="6"/>
        <v>6647</v>
      </c>
      <c r="M35" s="6">
        <f>IF(AND($E35&gt;15,$E35&gt;=36),(M$7+($E35*M$8)+($E35-15)*M$9+($E35-36)*M$10),IF(AND($E35&gt;15,$E35&lt;=36),(M$7+($E35*M$8)+($E35-15)*M$9),M$7+($E35*M$8)))</f>
        <v>2239.6</v>
      </c>
      <c r="N35" s="6">
        <f t="shared" si="3"/>
        <v>168236.6</v>
      </c>
    </row>
    <row r="36" spans="3:14" ht="12.75">
      <c r="C36" s="7">
        <v>20</v>
      </c>
      <c r="E36" s="7">
        <v>20</v>
      </c>
      <c r="G36" s="26">
        <v>42729</v>
      </c>
      <c r="H36" s="6">
        <f t="shared" si="6"/>
        <v>90105</v>
      </c>
      <c r="I36" s="6">
        <f t="shared" si="6"/>
        <v>42393</v>
      </c>
      <c r="J36" s="6">
        <f t="shared" si="6"/>
        <v>6515</v>
      </c>
      <c r="M36" s="6">
        <f>IF(AND($E36&gt;15,$E36&gt;=36),(M$7+($E36*M$8)+($E36-15)*M$9+($E36-36)*M$10),IF(AND($E36&gt;15,$E36&lt;=36),(M$7+($E36*M$8)+($E36-15)*M$9),M$7+($E36*M$8)))</f>
        <v>2143</v>
      </c>
      <c r="N36" s="6">
        <f t="shared" si="3"/>
        <v>141156</v>
      </c>
    </row>
    <row r="37" spans="3:14" ht="12.75">
      <c r="C37" s="7">
        <v>21</v>
      </c>
      <c r="E37" s="7">
        <v>30</v>
      </c>
      <c r="G37" s="26">
        <v>42730</v>
      </c>
      <c r="H37" s="6">
        <f t="shared" si="1"/>
        <v>134952</v>
      </c>
      <c r="I37" s="6">
        <f t="shared" si="1"/>
        <v>62123</v>
      </c>
      <c r="J37" s="6">
        <f t="shared" si="1"/>
        <v>7210</v>
      </c>
      <c r="M37" s="6">
        <f t="shared" si="2"/>
        <v>2784.5</v>
      </c>
      <c r="N37" s="6">
        <f t="shared" si="3"/>
        <v>207069.5</v>
      </c>
    </row>
    <row r="38" spans="3:14" ht="12.75">
      <c r="C38" s="7">
        <v>22</v>
      </c>
      <c r="E38" s="7">
        <v>26</v>
      </c>
      <c r="G38" s="26">
        <v>42731</v>
      </c>
      <c r="H38" s="6">
        <f t="shared" si="1"/>
        <v>119496</v>
      </c>
      <c r="I38" s="6">
        <f t="shared" si="1"/>
        <v>55415</v>
      </c>
      <c r="J38" s="6">
        <f t="shared" si="1"/>
        <v>7102</v>
      </c>
      <c r="L38" s="7" t="s">
        <v>2</v>
      </c>
      <c r="M38" s="6">
        <f t="shared" si="2"/>
        <v>2687.9</v>
      </c>
      <c r="N38" s="6">
        <f t="shared" si="3"/>
        <v>184700.9</v>
      </c>
    </row>
    <row r="39" spans="3:14" ht="12.75">
      <c r="C39" s="7">
        <v>23</v>
      </c>
      <c r="E39" s="7">
        <v>50</v>
      </c>
      <c r="G39" s="26">
        <v>42732</v>
      </c>
      <c r="H39" s="6">
        <f t="shared" si="1"/>
        <v>229132</v>
      </c>
      <c r="I39" s="6">
        <f t="shared" si="1"/>
        <v>103003</v>
      </c>
      <c r="J39" s="6">
        <f t="shared" si="1"/>
        <v>7870</v>
      </c>
      <c r="M39" s="6">
        <f t="shared" si="2"/>
        <v>3432.7</v>
      </c>
      <c r="N39" s="6">
        <f t="shared" si="3"/>
        <v>343437.7</v>
      </c>
    </row>
    <row r="40" spans="3:14" ht="12.75">
      <c r="C40" s="7">
        <v>24</v>
      </c>
      <c r="E40" s="7">
        <v>60</v>
      </c>
      <c r="G40" s="26">
        <v>42733</v>
      </c>
      <c r="H40" s="6">
        <f t="shared" si="1"/>
        <v>284672</v>
      </c>
      <c r="I40" s="6">
        <f t="shared" si="1"/>
        <v>127113</v>
      </c>
      <c r="J40" s="6">
        <f t="shared" si="1"/>
        <v>8260</v>
      </c>
      <c r="M40" s="6">
        <f t="shared" si="2"/>
        <v>3792.2</v>
      </c>
      <c r="N40" s="6">
        <f t="shared" si="3"/>
        <v>423837.2</v>
      </c>
    </row>
    <row r="41" spans="3:14" ht="12.75">
      <c r="C41" s="7">
        <v>25</v>
      </c>
      <c r="E41" s="7">
        <v>71</v>
      </c>
      <c r="G41" s="26">
        <v>42734</v>
      </c>
      <c r="H41" s="6">
        <f t="shared" si="1"/>
        <v>345766</v>
      </c>
      <c r="I41" s="6">
        <f t="shared" si="1"/>
        <v>153634</v>
      </c>
      <c r="J41" s="6">
        <f t="shared" si="1"/>
        <v>8689</v>
      </c>
      <c r="M41" s="6">
        <v>0</v>
      </c>
      <c r="N41" s="6">
        <f t="shared" si="3"/>
        <v>508089</v>
      </c>
    </row>
    <row r="42" spans="3:14" ht="12.75">
      <c r="C42" s="7">
        <v>26</v>
      </c>
      <c r="E42" s="7">
        <v>59</v>
      </c>
      <c r="G42" s="26">
        <v>42735</v>
      </c>
      <c r="H42" s="6">
        <f aca="true" t="shared" si="7" ref="H42:J43">IF(AND($E42&gt;40),(H$7+($E42*H$8)+($E42-15)*H$9+($E42-25)*H$10)+($E42-40)*H$11,IF(AND($E42&gt;25,$E42&gt;=40),(H$7+($E42*H$8)+($E42-15)*H$9+($E42-25)*H$10)+($E42-40)*H$11,IF(AND($E42&gt;15,$E42&gt;=25),(H$7+($E42*H$8)+($E42-15)*H$9+($E42-25)*H$10),IF(AND($E42&gt;15,$E42&lt;=25),(H$7+($E42*H$8)+($E42-15)*H$9),H$7+($E42*H$8)))))</f>
        <v>276996</v>
      </c>
      <c r="I42" s="6">
        <f t="shared" si="7"/>
        <v>123517</v>
      </c>
      <c r="J42" s="6">
        <f t="shared" si="7"/>
        <v>7826</v>
      </c>
      <c r="M42" s="6">
        <f>IF(AND($E42&gt;15,$E42&gt;=36),(M$7+($E42*M$8)+($E42-15)*M$9+($E42-36)*M$10),IF(AND($E42&gt;15,$E42&lt;=36),(M$7+($E42*M$8)+($E42-15)*M$9),M$7+($E42*M$8)))</f>
        <v>3356.2500000000005</v>
      </c>
      <c r="N42" s="6">
        <f t="shared" si="3"/>
        <v>411695.25</v>
      </c>
    </row>
    <row r="43" spans="3:14" ht="12.75">
      <c r="C43" s="7">
        <v>27</v>
      </c>
      <c r="E43" s="7">
        <v>48</v>
      </c>
      <c r="G43" s="26">
        <v>42708</v>
      </c>
      <c r="H43" s="6">
        <f t="shared" si="7"/>
        <v>215902</v>
      </c>
      <c r="I43" s="6">
        <f t="shared" si="7"/>
        <v>96996</v>
      </c>
      <c r="J43" s="6">
        <f t="shared" si="7"/>
        <v>7397</v>
      </c>
      <c r="M43" s="6">
        <f>IF(AND($E43&gt;15,$E43&gt;=36),(M$7+($E43*M$8)+($E43-15)*M$9+($E43-36)*M$10),IF(AND($E43&gt;15,$E43&lt;=36),(M$7+($E43*M$8)+($E43-15)*M$9),M$7+($E43*M$8)))</f>
        <v>2960.7999999999997</v>
      </c>
      <c r="N43" s="6">
        <f t="shared" si="3"/>
        <v>323255.8</v>
      </c>
    </row>
    <row r="44" spans="3:14" ht="12.75">
      <c r="C44" s="7">
        <v>28</v>
      </c>
      <c r="E44" s="7">
        <v>23</v>
      </c>
      <c r="G44" s="26">
        <v>42709</v>
      </c>
      <c r="H44" s="6">
        <f t="shared" si="1"/>
        <v>106270</v>
      </c>
      <c r="I44" s="6">
        <f t="shared" si="1"/>
        <v>49674</v>
      </c>
      <c r="J44" s="6">
        <f t="shared" si="1"/>
        <v>7009</v>
      </c>
      <c r="M44" s="6">
        <f t="shared" si="2"/>
        <v>2615.45</v>
      </c>
      <c r="N44" s="6">
        <f t="shared" si="3"/>
        <v>165568.45</v>
      </c>
    </row>
    <row r="45" spans="3:14" ht="12.75">
      <c r="C45" s="7">
        <v>29</v>
      </c>
      <c r="E45" s="7">
        <v>11</v>
      </c>
      <c r="G45" s="26">
        <v>42710</v>
      </c>
      <c r="H45" s="6">
        <f t="shared" si="1"/>
        <v>56318</v>
      </c>
      <c r="I45" s="6">
        <f t="shared" si="1"/>
        <v>27990</v>
      </c>
      <c r="J45" s="6">
        <f t="shared" si="1"/>
        <v>6657</v>
      </c>
      <c r="M45" s="6">
        <f t="shared" si="2"/>
        <v>2325.65</v>
      </c>
      <c r="N45" s="6">
        <f t="shared" si="3"/>
        <v>93290.65</v>
      </c>
    </row>
    <row r="46" spans="3:14" ht="12.75">
      <c r="C46" s="7">
        <v>30</v>
      </c>
      <c r="E46" s="7">
        <v>22</v>
      </c>
      <c r="G46" s="26">
        <v>42711</v>
      </c>
      <c r="H46" s="6">
        <f t="shared" si="1"/>
        <v>101589</v>
      </c>
      <c r="I46" s="6">
        <f t="shared" si="1"/>
        <v>47642</v>
      </c>
      <c r="J46" s="6">
        <f t="shared" si="1"/>
        <v>6976</v>
      </c>
      <c r="L46" s="7" t="s">
        <v>2</v>
      </c>
      <c r="M46" s="6">
        <f t="shared" si="2"/>
        <v>2591.3</v>
      </c>
      <c r="N46" s="6">
        <f t="shared" si="3"/>
        <v>158798.3</v>
      </c>
    </row>
    <row r="47" spans="3:14" ht="12.75">
      <c r="C47" s="7">
        <v>31</v>
      </c>
      <c r="E47" s="7">
        <v>27</v>
      </c>
      <c r="G47" s="26">
        <v>42712</v>
      </c>
      <c r="H47" s="6">
        <f t="shared" si="1"/>
        <v>123360</v>
      </c>
      <c r="I47" s="6">
        <f t="shared" si="1"/>
        <v>57092</v>
      </c>
      <c r="J47" s="6">
        <f t="shared" si="1"/>
        <v>7129</v>
      </c>
      <c r="M47" s="6">
        <f t="shared" si="2"/>
        <v>2712.05</v>
      </c>
      <c r="N47" s="6">
        <f t="shared" si="3"/>
        <v>190293.05</v>
      </c>
    </row>
    <row r="48" spans="7:10" ht="12.75">
      <c r="G48" s="7" t="s">
        <v>2</v>
      </c>
      <c r="H48" s="6"/>
      <c r="I48" s="6"/>
      <c r="J48" s="6"/>
    </row>
    <row r="49" spans="3:14" ht="12.75">
      <c r="C49" s="13" t="s">
        <v>0</v>
      </c>
      <c r="E49" s="6">
        <f>SUM(E17:E48)</f>
        <v>1104</v>
      </c>
      <c r="F49" s="6"/>
      <c r="G49" s="7" t="s">
        <v>2</v>
      </c>
      <c r="H49" s="6">
        <f>SUM(H17:H47)</f>
        <v>5046986</v>
      </c>
      <c r="I49" s="6">
        <f>SUM(I17:I48)</f>
        <v>2298513</v>
      </c>
      <c r="J49" s="6">
        <f>SUM(J17:J47)</f>
        <v>226520</v>
      </c>
      <c r="M49" s="6">
        <f>SUM(M17:M47)</f>
        <v>81275.84999999999</v>
      </c>
      <c r="N49" s="6">
        <f>SUM(N17:N48)</f>
        <v>7653294.8500000015</v>
      </c>
    </row>
    <row r="50" spans="3:14" ht="12.75">
      <c r="C50" s="13"/>
      <c r="E50" s="6"/>
      <c r="F50" s="6"/>
      <c r="G50" s="7" t="s">
        <v>2</v>
      </c>
      <c r="H50" s="6"/>
      <c r="I50" s="6"/>
      <c r="J50" s="6"/>
      <c r="M50" s="6"/>
      <c r="N50" s="6"/>
    </row>
    <row r="51" spans="3:14" ht="12.75">
      <c r="C51" s="13"/>
      <c r="E51" s="6"/>
      <c r="F51" s="6"/>
      <c r="H51" s="6" t="s">
        <v>2</v>
      </c>
      <c r="I51" s="6" t="s">
        <v>2</v>
      </c>
      <c r="J51" s="6"/>
      <c r="M51" s="6"/>
      <c r="N51" s="6"/>
    </row>
    <row r="52" spans="3:14" ht="12.75">
      <c r="C52" s="13"/>
      <c r="E52" s="6"/>
      <c r="F52" s="6"/>
      <c r="H52" s="6"/>
      <c r="I52" s="6"/>
      <c r="J52" s="6"/>
      <c r="M52" s="6"/>
      <c r="N52" s="6"/>
    </row>
    <row r="53" spans="3:14" ht="12.75">
      <c r="C53" s="13"/>
      <c r="E53" s="6"/>
      <c r="F53" s="6"/>
      <c r="H53" s="6"/>
      <c r="I53" s="6"/>
      <c r="J53" s="6"/>
      <c r="M53" s="6"/>
      <c r="N53" s="6"/>
    </row>
    <row r="54" spans="3:14" ht="12.75">
      <c r="C54" s="13"/>
      <c r="E54" s="6"/>
      <c r="F54" s="6"/>
      <c r="H54" s="6"/>
      <c r="I54" s="6"/>
      <c r="J54" s="6"/>
      <c r="M54" s="6"/>
      <c r="N54" s="6"/>
    </row>
    <row r="55" spans="3:14" ht="12.75">
      <c r="C55" s="13"/>
      <c r="E55" s="6"/>
      <c r="F55" s="6"/>
      <c r="H55" s="6"/>
      <c r="I55" s="6"/>
      <c r="J55" s="6"/>
      <c r="M55" s="6"/>
      <c r="N55" s="6"/>
    </row>
    <row r="56" spans="3:14" ht="12.75">
      <c r="C56" s="13"/>
      <c r="E56" s="6"/>
      <c r="F56" s="6"/>
      <c r="H56" s="6"/>
      <c r="I56" s="6"/>
      <c r="J56" s="6"/>
      <c r="M56" s="6"/>
      <c r="N56" s="6"/>
    </row>
    <row r="57" spans="3:14" ht="12.75">
      <c r="C57" s="13"/>
      <c r="E57" s="6"/>
      <c r="F57" s="6"/>
      <c r="H57" s="6"/>
      <c r="I57" s="6"/>
      <c r="J57" s="6"/>
      <c r="M57" s="6"/>
      <c r="N57" s="6"/>
    </row>
    <row r="59" ht="12.75">
      <c r="I59" s="7" t="s">
        <v>2</v>
      </c>
    </row>
    <row r="60" spans="9:14" ht="12.75">
      <c r="I60" s="6"/>
      <c r="J60" s="6"/>
      <c r="M60" s="6"/>
      <c r="N60" s="6"/>
    </row>
    <row r="62" spans="3:14" ht="12.75">
      <c r="C62" s="10"/>
      <c r="D62" s="10"/>
      <c r="E62" s="10"/>
      <c r="F62" s="10"/>
      <c r="G62" s="8" t="s">
        <v>13</v>
      </c>
      <c r="H62" s="8" t="s">
        <v>5</v>
      </c>
      <c r="I62" s="8" t="s">
        <v>6</v>
      </c>
      <c r="J62" s="8" t="s">
        <v>8</v>
      </c>
      <c r="M62" s="8" t="s">
        <v>33</v>
      </c>
      <c r="N62" s="8"/>
    </row>
    <row r="63" spans="3:13" ht="12.75">
      <c r="C63" s="8" t="s">
        <v>2</v>
      </c>
      <c r="D63" s="10"/>
      <c r="E63" s="8" t="s">
        <v>11</v>
      </c>
      <c r="F63" s="8"/>
      <c r="G63" s="8" t="s">
        <v>14</v>
      </c>
      <c r="H63" s="8" t="s">
        <v>3</v>
      </c>
      <c r="I63" s="8" t="s">
        <v>3</v>
      </c>
      <c r="J63" s="8" t="s">
        <v>3</v>
      </c>
      <c r="M63" s="8" t="s">
        <v>34</v>
      </c>
    </row>
    <row r="64" spans="3:13" ht="12.75">
      <c r="C64" s="12" t="s">
        <v>9</v>
      </c>
      <c r="D64" s="10"/>
      <c r="E64" s="8" t="s">
        <v>12</v>
      </c>
      <c r="F64" s="8"/>
      <c r="G64" s="8" t="s">
        <v>15</v>
      </c>
      <c r="H64" s="8" t="s">
        <v>4</v>
      </c>
      <c r="I64" s="8" t="s">
        <v>7</v>
      </c>
      <c r="J64" s="8" t="s">
        <v>1</v>
      </c>
      <c r="M64" s="8" t="s">
        <v>35</v>
      </c>
    </row>
    <row r="66" spans="2:16" ht="12.75">
      <c r="B66" s="10" t="s">
        <v>16</v>
      </c>
      <c r="C66" s="7">
        <v>1</v>
      </c>
      <c r="E66" s="7">
        <f>E17</f>
        <v>44</v>
      </c>
      <c r="G66" s="6">
        <v>120000</v>
      </c>
      <c r="H66" s="6">
        <f aca="true" t="shared" si="8" ref="H66:H96">ROUND((H17/N17)*G66,0)</f>
        <v>79597</v>
      </c>
      <c r="I66" s="6">
        <f aca="true" t="shared" si="9" ref="I66:I96">ROUND((I17/N17)*G66,0)</f>
        <v>35991</v>
      </c>
      <c r="J66" s="6">
        <f aca="true" t="shared" si="10" ref="J66:J96">ROUND((J17/N17)*G66,0)</f>
        <v>3104</v>
      </c>
      <c r="M66" s="6">
        <f aca="true" t="shared" si="11" ref="M66:M96">ROUND((M17/N17)*G66,0)</f>
        <v>1308</v>
      </c>
      <c r="P66" s="6"/>
    </row>
    <row r="67" spans="3:16" ht="12.75">
      <c r="C67" s="7">
        <v>2</v>
      </c>
      <c r="E67" s="7">
        <f aca="true" t="shared" si="12" ref="E67:E96">E18</f>
        <v>35</v>
      </c>
      <c r="G67" s="6">
        <v>81392</v>
      </c>
      <c r="H67" s="6">
        <f t="shared" si="8"/>
        <v>53425</v>
      </c>
      <c r="I67" s="6">
        <f t="shared" si="9"/>
        <v>24417</v>
      </c>
      <c r="J67" s="6">
        <f t="shared" si="10"/>
        <v>2544</v>
      </c>
      <c r="M67" s="6">
        <f t="shared" si="11"/>
        <v>1006</v>
      </c>
      <c r="P67" s="6"/>
    </row>
    <row r="68" spans="3:16" ht="12.75">
      <c r="C68" s="7">
        <v>3</v>
      </c>
      <c r="E68" s="7">
        <f t="shared" si="12"/>
        <v>28</v>
      </c>
      <c r="G68" s="6">
        <v>39097</v>
      </c>
      <c r="H68" s="6">
        <f t="shared" si="8"/>
        <v>25393</v>
      </c>
      <c r="I68" s="6">
        <f t="shared" si="9"/>
        <v>11730</v>
      </c>
      <c r="J68" s="6">
        <f t="shared" si="10"/>
        <v>1428</v>
      </c>
      <c r="M68" s="6">
        <f t="shared" si="11"/>
        <v>546</v>
      </c>
      <c r="P68" s="6"/>
    </row>
    <row r="69" spans="3:16" ht="12.75">
      <c r="C69" s="7">
        <v>4</v>
      </c>
      <c r="E69" s="7">
        <f t="shared" si="12"/>
        <v>26</v>
      </c>
      <c r="G69" s="6">
        <v>0</v>
      </c>
      <c r="H69" s="6">
        <f t="shared" si="8"/>
        <v>0</v>
      </c>
      <c r="I69" s="6">
        <f t="shared" si="9"/>
        <v>0</v>
      </c>
      <c r="J69" s="6">
        <f t="shared" si="10"/>
        <v>0</v>
      </c>
      <c r="M69" s="6">
        <f t="shared" si="11"/>
        <v>0</v>
      </c>
      <c r="P69" s="6"/>
    </row>
    <row r="70" spans="3:16" ht="12.75">
      <c r="C70" s="7">
        <v>5</v>
      </c>
      <c r="E70" s="7">
        <f t="shared" si="12"/>
        <v>35</v>
      </c>
      <c r="G70" s="6">
        <v>65032</v>
      </c>
      <c r="H70" s="6">
        <f t="shared" si="8"/>
        <v>42847</v>
      </c>
      <c r="I70" s="6">
        <f t="shared" si="9"/>
        <v>19522</v>
      </c>
      <c r="J70" s="6">
        <f t="shared" si="10"/>
        <v>1957</v>
      </c>
      <c r="M70" s="6">
        <f t="shared" si="11"/>
        <v>706</v>
      </c>
      <c r="P70" s="6"/>
    </row>
    <row r="71" spans="3:16" ht="12.75">
      <c r="C71" s="7">
        <v>6</v>
      </c>
      <c r="E71" s="7">
        <f t="shared" si="12"/>
        <v>50</v>
      </c>
      <c r="G71" s="6">
        <v>120000</v>
      </c>
      <c r="H71" s="6">
        <f t="shared" si="8"/>
        <v>80278</v>
      </c>
      <c r="I71" s="6">
        <f t="shared" si="9"/>
        <v>36006</v>
      </c>
      <c r="J71" s="6">
        <f t="shared" si="10"/>
        <v>2643</v>
      </c>
      <c r="M71" s="6">
        <f t="shared" si="11"/>
        <v>1072</v>
      </c>
      <c r="P71" s="6"/>
    </row>
    <row r="72" spans="3:16" ht="12.75">
      <c r="C72" s="7">
        <v>7</v>
      </c>
      <c r="E72" s="7">
        <f t="shared" si="12"/>
        <v>62</v>
      </c>
      <c r="G72" s="6">
        <v>170000</v>
      </c>
      <c r="H72" s="6">
        <f t="shared" si="8"/>
        <v>115313</v>
      </c>
      <c r="I72" s="6">
        <f t="shared" si="9"/>
        <v>51436</v>
      </c>
      <c r="J72" s="6">
        <f t="shared" si="10"/>
        <v>3251</v>
      </c>
      <c r="M72" s="6">
        <f t="shared" si="11"/>
        <v>0</v>
      </c>
      <c r="P72" s="6"/>
    </row>
    <row r="73" spans="3:16" ht="12.75">
      <c r="C73" s="7">
        <v>8</v>
      </c>
      <c r="E73" s="7">
        <f t="shared" si="12"/>
        <v>49</v>
      </c>
      <c r="G73" s="6">
        <v>120000</v>
      </c>
      <c r="H73" s="6">
        <f t="shared" si="8"/>
        <v>79993</v>
      </c>
      <c r="I73" s="6">
        <f t="shared" si="9"/>
        <v>35990</v>
      </c>
      <c r="J73" s="6">
        <f t="shared" si="10"/>
        <v>2802</v>
      </c>
      <c r="M73" s="6">
        <f t="shared" si="11"/>
        <v>1215</v>
      </c>
      <c r="P73" s="6"/>
    </row>
    <row r="74" spans="3:16" ht="12.75">
      <c r="C74" s="7">
        <v>9</v>
      </c>
      <c r="E74" s="7">
        <f t="shared" si="12"/>
        <v>34</v>
      </c>
      <c r="G74" s="6">
        <v>79473</v>
      </c>
      <c r="H74" s="6">
        <f t="shared" si="8"/>
        <v>52098</v>
      </c>
      <c r="I74" s="6">
        <f t="shared" si="9"/>
        <v>23842</v>
      </c>
      <c r="J74" s="6">
        <f t="shared" si="10"/>
        <v>2535</v>
      </c>
      <c r="M74" s="6">
        <f t="shared" si="11"/>
        <v>998</v>
      </c>
      <c r="P74" s="6"/>
    </row>
    <row r="75" spans="3:16" ht="12.75">
      <c r="C75" s="7">
        <v>10</v>
      </c>
      <c r="E75" s="7">
        <f t="shared" si="12"/>
        <v>37</v>
      </c>
      <c r="G75" s="6">
        <v>97223</v>
      </c>
      <c r="H75" s="6">
        <f t="shared" si="8"/>
        <v>63966</v>
      </c>
      <c r="I75" s="6">
        <f t="shared" si="9"/>
        <v>29165</v>
      </c>
      <c r="J75" s="6">
        <f t="shared" si="10"/>
        <v>2922</v>
      </c>
      <c r="M75" s="6">
        <f t="shared" si="11"/>
        <v>1171</v>
      </c>
      <c r="P75" s="6"/>
    </row>
    <row r="76" spans="3:16" ht="12.75">
      <c r="C76" s="7">
        <v>11</v>
      </c>
      <c r="E76" s="7">
        <f t="shared" si="12"/>
        <v>35</v>
      </c>
      <c r="G76" s="6">
        <v>52423</v>
      </c>
      <c r="H76" s="6">
        <f t="shared" si="8"/>
        <v>34410</v>
      </c>
      <c r="I76" s="6">
        <f t="shared" si="9"/>
        <v>15727</v>
      </c>
      <c r="J76" s="6">
        <f t="shared" si="10"/>
        <v>1638</v>
      </c>
      <c r="M76" s="6">
        <f t="shared" si="11"/>
        <v>648</v>
      </c>
      <c r="P76" s="6"/>
    </row>
    <row r="77" spans="3:16" ht="12.75">
      <c r="C77" s="7">
        <v>12</v>
      </c>
      <c r="E77" s="7">
        <f t="shared" si="12"/>
        <v>28</v>
      </c>
      <c r="G77" s="6">
        <v>36320</v>
      </c>
      <c r="H77" s="6">
        <f t="shared" si="8"/>
        <v>23692</v>
      </c>
      <c r="I77" s="6">
        <f t="shared" si="9"/>
        <v>10905</v>
      </c>
      <c r="J77" s="6">
        <f t="shared" si="10"/>
        <v>1280</v>
      </c>
      <c r="M77" s="6">
        <f t="shared" si="11"/>
        <v>442</v>
      </c>
      <c r="P77" s="6"/>
    </row>
    <row r="78" spans="3:16" ht="12.75">
      <c r="C78" s="7">
        <v>13</v>
      </c>
      <c r="E78" s="7">
        <f t="shared" si="12"/>
        <v>33</v>
      </c>
      <c r="G78" s="6">
        <v>36744</v>
      </c>
      <c r="H78" s="6">
        <f t="shared" si="8"/>
        <v>24149</v>
      </c>
      <c r="I78" s="6">
        <f t="shared" si="9"/>
        <v>11031</v>
      </c>
      <c r="J78" s="6">
        <f t="shared" si="10"/>
        <v>1153</v>
      </c>
      <c r="M78" s="6">
        <f t="shared" si="11"/>
        <v>411</v>
      </c>
      <c r="P78" s="6"/>
    </row>
    <row r="79" spans="3:16" ht="12.75">
      <c r="C79" s="7">
        <v>14</v>
      </c>
      <c r="E79" s="7">
        <f t="shared" si="12"/>
        <v>23</v>
      </c>
      <c r="G79" s="6">
        <f>-18717+35439</f>
        <v>16722</v>
      </c>
      <c r="H79" s="6">
        <f t="shared" si="8"/>
        <v>10733</v>
      </c>
      <c r="I79" s="6">
        <f t="shared" si="9"/>
        <v>5017</v>
      </c>
      <c r="J79" s="6">
        <f t="shared" si="10"/>
        <v>708</v>
      </c>
      <c r="M79" s="6">
        <f t="shared" si="11"/>
        <v>264</v>
      </c>
      <c r="P79" s="6"/>
    </row>
    <row r="80" spans="3:16" ht="12.75">
      <c r="C80" s="7">
        <v>15</v>
      </c>
      <c r="E80" s="7">
        <f t="shared" si="12"/>
        <v>24</v>
      </c>
      <c r="G80" s="6">
        <v>0</v>
      </c>
      <c r="H80" s="6">
        <f t="shared" si="8"/>
        <v>0</v>
      </c>
      <c r="I80" s="6">
        <f t="shared" si="9"/>
        <v>0</v>
      </c>
      <c r="J80" s="6">
        <f t="shared" si="10"/>
        <v>0</v>
      </c>
      <c r="M80" s="6">
        <f t="shared" si="11"/>
        <v>0</v>
      </c>
      <c r="P80" s="6"/>
    </row>
    <row r="81" spans="3:16" ht="12.75">
      <c r="C81" s="7">
        <v>16</v>
      </c>
      <c r="E81" s="7">
        <f t="shared" si="12"/>
        <v>28</v>
      </c>
      <c r="G81" s="6">
        <v>12249</v>
      </c>
      <c r="H81" s="6">
        <f t="shared" si="8"/>
        <v>7956</v>
      </c>
      <c r="I81" s="6">
        <f t="shared" si="9"/>
        <v>3675</v>
      </c>
      <c r="J81" s="6">
        <f t="shared" si="10"/>
        <v>447</v>
      </c>
      <c r="M81" s="6">
        <f t="shared" si="11"/>
        <v>171</v>
      </c>
      <c r="P81" s="6"/>
    </row>
    <row r="82" spans="3:16" ht="12.75">
      <c r="C82" s="7">
        <v>17</v>
      </c>
      <c r="E82" s="7">
        <f t="shared" si="12"/>
        <v>29</v>
      </c>
      <c r="G82" s="6">
        <v>35007</v>
      </c>
      <c r="H82" s="6">
        <f t="shared" si="8"/>
        <v>22777</v>
      </c>
      <c r="I82" s="6">
        <f t="shared" si="9"/>
        <v>10503</v>
      </c>
      <c r="J82" s="6">
        <f t="shared" si="10"/>
        <v>1248</v>
      </c>
      <c r="M82" s="6">
        <f t="shared" si="11"/>
        <v>480</v>
      </c>
      <c r="P82" s="6"/>
    </row>
    <row r="83" spans="3:16" ht="12.75">
      <c r="C83" s="7">
        <v>18</v>
      </c>
      <c r="E83" s="7">
        <f t="shared" si="12"/>
        <v>33</v>
      </c>
      <c r="G83" s="6">
        <v>76532</v>
      </c>
      <c r="H83" s="6">
        <f t="shared" si="8"/>
        <v>50103</v>
      </c>
      <c r="I83" s="6">
        <f t="shared" si="9"/>
        <v>22960</v>
      </c>
      <c r="J83" s="6">
        <f t="shared" si="10"/>
        <v>2493</v>
      </c>
      <c r="M83" s="6">
        <f t="shared" si="11"/>
        <v>977</v>
      </c>
      <c r="P83" s="6"/>
    </row>
    <row r="84" spans="3:16" ht="12.75">
      <c r="C84" s="7">
        <v>19</v>
      </c>
      <c r="E84" s="7">
        <f t="shared" si="12"/>
        <v>24</v>
      </c>
      <c r="G84" s="6">
        <f>-14688+34157</f>
        <v>19469</v>
      </c>
      <c r="H84" s="6">
        <f t="shared" si="8"/>
        <v>12594</v>
      </c>
      <c r="I84" s="6">
        <f t="shared" si="9"/>
        <v>5846</v>
      </c>
      <c r="J84" s="6">
        <f t="shared" si="10"/>
        <v>769</v>
      </c>
      <c r="M84" s="6">
        <f t="shared" si="11"/>
        <v>259</v>
      </c>
      <c r="P84" s="6"/>
    </row>
    <row r="85" spans="3:16" ht="12.75">
      <c r="C85" s="7">
        <v>20</v>
      </c>
      <c r="E85" s="7">
        <f t="shared" si="12"/>
        <v>20</v>
      </c>
      <c r="G85" s="6">
        <f>-21910+13587</f>
        <v>-8323</v>
      </c>
      <c r="H85" s="6">
        <f t="shared" si="8"/>
        <v>-5313</v>
      </c>
      <c r="I85" s="6">
        <f t="shared" si="9"/>
        <v>-2500</v>
      </c>
      <c r="J85" s="6">
        <f t="shared" si="10"/>
        <v>-384</v>
      </c>
      <c r="M85" s="6">
        <f t="shared" si="11"/>
        <v>-126</v>
      </c>
      <c r="P85" s="6"/>
    </row>
    <row r="86" spans="3:16" ht="12.75">
      <c r="C86" s="7">
        <v>21</v>
      </c>
      <c r="E86" s="7">
        <f t="shared" si="12"/>
        <v>30</v>
      </c>
      <c r="G86" s="6">
        <f>-686+60000</f>
        <v>59314</v>
      </c>
      <c r="H86" s="6">
        <f t="shared" si="8"/>
        <v>38656</v>
      </c>
      <c r="I86" s="6">
        <f t="shared" si="9"/>
        <v>17795</v>
      </c>
      <c r="J86" s="6">
        <f t="shared" si="10"/>
        <v>2065</v>
      </c>
      <c r="M86" s="6">
        <f t="shared" si="11"/>
        <v>798</v>
      </c>
      <c r="P86" s="6"/>
    </row>
    <row r="87" spans="3:16" ht="12.75">
      <c r="C87" s="7">
        <v>22</v>
      </c>
      <c r="E87" s="7">
        <f t="shared" si="12"/>
        <v>26</v>
      </c>
      <c r="G87" s="6">
        <v>36358</v>
      </c>
      <c r="H87" s="6">
        <f t="shared" si="8"/>
        <v>23523</v>
      </c>
      <c r="I87" s="6">
        <f t="shared" si="9"/>
        <v>10908</v>
      </c>
      <c r="J87" s="6">
        <f t="shared" si="10"/>
        <v>1398</v>
      </c>
      <c r="M87" s="6">
        <f t="shared" si="11"/>
        <v>529</v>
      </c>
      <c r="P87" s="6"/>
    </row>
    <row r="88" spans="3:16" ht="12.75">
      <c r="C88" s="7">
        <v>23</v>
      </c>
      <c r="E88" s="7">
        <f t="shared" si="12"/>
        <v>50</v>
      </c>
      <c r="G88" s="6">
        <v>118000</v>
      </c>
      <c r="H88" s="6">
        <f t="shared" si="8"/>
        <v>78726</v>
      </c>
      <c r="I88" s="6">
        <f t="shared" si="9"/>
        <v>35390</v>
      </c>
      <c r="J88" s="6">
        <f t="shared" si="10"/>
        <v>2704</v>
      </c>
      <c r="M88" s="6">
        <f t="shared" si="11"/>
        <v>1179</v>
      </c>
      <c r="P88" s="6"/>
    </row>
    <row r="89" spans="3:16" ht="12.75">
      <c r="C89" s="7">
        <v>24</v>
      </c>
      <c r="E89" s="7">
        <f t="shared" si="12"/>
        <v>60</v>
      </c>
      <c r="G89" s="6">
        <v>158000</v>
      </c>
      <c r="H89" s="6">
        <f t="shared" si="8"/>
        <v>106121</v>
      </c>
      <c r="I89" s="6">
        <f t="shared" si="9"/>
        <v>47386</v>
      </c>
      <c r="J89" s="6">
        <f t="shared" si="10"/>
        <v>3079</v>
      </c>
      <c r="M89" s="6">
        <f t="shared" si="11"/>
        <v>1414</v>
      </c>
      <c r="P89" s="6"/>
    </row>
    <row r="90" spans="3:16" ht="12.75">
      <c r="C90" s="7">
        <v>25</v>
      </c>
      <c r="E90" s="7">
        <f t="shared" si="12"/>
        <v>71</v>
      </c>
      <c r="G90" s="6">
        <v>244000</v>
      </c>
      <c r="H90" s="6">
        <f t="shared" si="8"/>
        <v>166047</v>
      </c>
      <c r="I90" s="6">
        <f t="shared" si="9"/>
        <v>73780</v>
      </c>
      <c r="J90" s="6">
        <f t="shared" si="10"/>
        <v>4173</v>
      </c>
      <c r="M90" s="6">
        <f t="shared" si="11"/>
        <v>0</v>
      </c>
      <c r="P90" s="6"/>
    </row>
    <row r="91" spans="3:16" ht="12.75">
      <c r="C91" s="7">
        <v>26</v>
      </c>
      <c r="E91" s="7">
        <f t="shared" si="12"/>
        <v>59</v>
      </c>
      <c r="G91" s="6">
        <v>148000</v>
      </c>
      <c r="H91" s="6">
        <f t="shared" si="8"/>
        <v>99577</v>
      </c>
      <c r="I91" s="6">
        <f t="shared" si="9"/>
        <v>44403</v>
      </c>
      <c r="J91" s="6">
        <f t="shared" si="10"/>
        <v>2813</v>
      </c>
      <c r="M91" s="6">
        <f t="shared" si="11"/>
        <v>1207</v>
      </c>
      <c r="P91" s="6"/>
    </row>
    <row r="92" spans="3:16" ht="12.75">
      <c r="C92" s="7">
        <v>27</v>
      </c>
      <c r="E92" s="7">
        <f t="shared" si="12"/>
        <v>48</v>
      </c>
      <c r="G92" s="6">
        <v>117626</v>
      </c>
      <c r="H92" s="6">
        <f t="shared" si="8"/>
        <v>78562</v>
      </c>
      <c r="I92" s="6">
        <f t="shared" si="9"/>
        <v>35295</v>
      </c>
      <c r="J92" s="6">
        <f t="shared" si="10"/>
        <v>2692</v>
      </c>
      <c r="M92" s="6">
        <f t="shared" si="11"/>
        <v>1077</v>
      </c>
      <c r="P92" s="6"/>
    </row>
    <row r="93" spans="3:16" ht="12.75">
      <c r="C93" s="7">
        <v>28</v>
      </c>
      <c r="E93" s="7">
        <f t="shared" si="12"/>
        <v>23</v>
      </c>
      <c r="G93" s="6">
        <f>-61016+77738</f>
        <v>16722</v>
      </c>
      <c r="H93" s="6">
        <f t="shared" si="8"/>
        <v>10733</v>
      </c>
      <c r="I93" s="6">
        <f t="shared" si="9"/>
        <v>5017</v>
      </c>
      <c r="J93" s="6">
        <f t="shared" si="10"/>
        <v>708</v>
      </c>
      <c r="M93" s="6">
        <f t="shared" si="11"/>
        <v>264</v>
      </c>
      <c r="P93" s="6"/>
    </row>
    <row r="94" spans="3:16" ht="12.75">
      <c r="C94" s="7">
        <v>29</v>
      </c>
      <c r="E94" s="7">
        <f t="shared" si="12"/>
        <v>11</v>
      </c>
      <c r="G94" s="6">
        <f>-83984+26529</f>
        <v>-57455</v>
      </c>
      <c r="H94" s="6">
        <f t="shared" si="8"/>
        <v>-34685</v>
      </c>
      <c r="I94" s="6">
        <f t="shared" si="9"/>
        <v>-17238</v>
      </c>
      <c r="J94" s="6">
        <f t="shared" si="10"/>
        <v>-4100</v>
      </c>
      <c r="M94" s="6">
        <f t="shared" si="11"/>
        <v>-1432</v>
      </c>
      <c r="P94" s="6"/>
    </row>
    <row r="95" spans="3:16" ht="12.75">
      <c r="C95" s="7">
        <v>30</v>
      </c>
      <c r="E95" s="7">
        <f t="shared" si="12"/>
        <v>22</v>
      </c>
      <c r="G95" s="6">
        <f>-36000+45774</f>
        <v>9774</v>
      </c>
      <c r="H95" s="6">
        <f t="shared" si="8"/>
        <v>6253</v>
      </c>
      <c r="I95" s="6">
        <f t="shared" si="9"/>
        <v>2932</v>
      </c>
      <c r="J95" s="6">
        <f t="shared" si="10"/>
        <v>429</v>
      </c>
      <c r="M95" s="6">
        <f t="shared" si="11"/>
        <v>159</v>
      </c>
      <c r="P95" s="6"/>
    </row>
    <row r="96" spans="3:16" ht="12.75">
      <c r="C96" s="7">
        <v>31</v>
      </c>
      <c r="E96" s="7">
        <f t="shared" si="12"/>
        <v>27</v>
      </c>
      <c r="G96" s="6">
        <f>-36000+78097</f>
        <v>42097</v>
      </c>
      <c r="H96" s="6">
        <f t="shared" si="8"/>
        <v>27290</v>
      </c>
      <c r="I96" s="6">
        <f t="shared" si="9"/>
        <v>12630</v>
      </c>
      <c r="J96" s="6">
        <f t="shared" si="10"/>
        <v>1577</v>
      </c>
      <c r="M96" s="6">
        <f t="shared" si="11"/>
        <v>600</v>
      </c>
      <c r="P96" s="6"/>
    </row>
    <row r="97" spans="7:13" ht="12.75">
      <c r="G97" s="6"/>
      <c r="M97" s="6"/>
    </row>
    <row r="98" spans="3:16" ht="12.75">
      <c r="C98" s="13" t="s">
        <v>0</v>
      </c>
      <c r="E98" s="6">
        <f>SUM(E66:E97)</f>
        <v>1104</v>
      </c>
      <c r="F98" s="6"/>
      <c r="G98" s="6">
        <f>SUM(G66:G97)</f>
        <v>2061796</v>
      </c>
      <c r="H98" s="6">
        <f>SUM(H66:H97)</f>
        <v>1374814</v>
      </c>
      <c r="I98" s="6">
        <f>SUM(I66:I97)</f>
        <v>619561</v>
      </c>
      <c r="J98" s="6">
        <f>SUM(J66:J97)</f>
        <v>50076</v>
      </c>
      <c r="M98" s="6">
        <f>SUM(M66:M97)</f>
        <v>17343</v>
      </c>
      <c r="N98" s="6" t="s">
        <v>2</v>
      </c>
      <c r="P98" s="6"/>
    </row>
    <row r="99" ht="12.75">
      <c r="H99" s="6" t="s">
        <v>2</v>
      </c>
    </row>
    <row r="100" spans="7:14" ht="12.75">
      <c r="G100" s="7" t="s">
        <v>2</v>
      </c>
      <c r="H100" s="6" t="s">
        <v>2</v>
      </c>
      <c r="N100" s="6"/>
    </row>
    <row r="101" spans="5:13" ht="12.75">
      <c r="E101" s="7" t="s">
        <v>2</v>
      </c>
      <c r="G101" s="7" t="s">
        <v>2</v>
      </c>
      <c r="H101" s="7" t="s">
        <v>2</v>
      </c>
      <c r="M101" s="6" t="s">
        <v>2</v>
      </c>
    </row>
    <row r="103" ht="12.75">
      <c r="L103" s="6" t="s">
        <v>2</v>
      </c>
    </row>
    <row r="108" ht="12.75">
      <c r="N108" s="7" t="s">
        <v>2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61" r:id="rId1"/>
  <headerFooter alignWithMargins="0">
    <oddHeader>&amp;CLOUISVILLE GAS AND ELECTRIC COMPANY
Allocation of Underground Storage Investment
Based on Design Winter
(December)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0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7109375" style="7" customWidth="1"/>
    <col min="3" max="3" width="6.7109375" style="7" customWidth="1"/>
    <col min="4" max="4" width="3.7109375" style="7" customWidth="1"/>
    <col min="5" max="5" width="12.7109375" style="7" customWidth="1"/>
    <col min="6" max="6" width="4.140625" style="7" customWidth="1"/>
    <col min="7" max="7" width="11.7109375" style="7" customWidth="1"/>
    <col min="8" max="8" width="12.421875" style="7" customWidth="1"/>
    <col min="9" max="9" width="14.00390625" style="7" customWidth="1"/>
    <col min="10" max="10" width="15.00390625" style="7" customWidth="1"/>
    <col min="11" max="11" width="4.00390625" style="7" customWidth="1"/>
    <col min="12" max="12" width="43.00390625" style="7" customWidth="1"/>
    <col min="13" max="13" width="12.28125" style="7" customWidth="1"/>
    <col min="14" max="14" width="12.8515625" style="7" customWidth="1"/>
    <col min="15" max="16384" width="9.140625" style="7" customWidth="1"/>
  </cols>
  <sheetData>
    <row r="1" spans="1:13" ht="12.75">
      <c r="A1" s="7" t="s">
        <v>2</v>
      </c>
      <c r="I1" s="7" t="s">
        <v>2</v>
      </c>
      <c r="M1" s="7" t="s">
        <v>2</v>
      </c>
    </row>
    <row r="3" spans="8:14" ht="12.75">
      <c r="H3" s="8" t="s">
        <v>5</v>
      </c>
      <c r="I3" s="8" t="s">
        <v>6</v>
      </c>
      <c r="J3" s="8" t="s">
        <v>8</v>
      </c>
      <c r="M3" s="8" t="s">
        <v>33</v>
      </c>
      <c r="N3" s="10"/>
    </row>
    <row r="4" spans="8:14" ht="12.75">
      <c r="H4" s="8" t="s">
        <v>3</v>
      </c>
      <c r="I4" s="8" t="s">
        <v>3</v>
      </c>
      <c r="J4" s="8" t="s">
        <v>3</v>
      </c>
      <c r="M4" s="8" t="s">
        <v>34</v>
      </c>
      <c r="N4" s="11"/>
    </row>
    <row r="5" spans="8:14" ht="12.75">
      <c r="H5" s="8" t="s">
        <v>4</v>
      </c>
      <c r="I5" s="8" t="s">
        <v>7</v>
      </c>
      <c r="J5" s="8" t="s">
        <v>1</v>
      </c>
      <c r="M5" s="8" t="s">
        <v>35</v>
      </c>
      <c r="N5" s="8" t="s">
        <v>0</v>
      </c>
    </row>
    <row r="6" spans="1:14" ht="12.75">
      <c r="A6" s="10" t="s">
        <v>28</v>
      </c>
      <c r="H6" s="6">
        <v>25253</v>
      </c>
      <c r="I6" s="6">
        <v>14194</v>
      </c>
      <c r="J6" s="6">
        <v>6394</v>
      </c>
      <c r="L6" s="10" t="s">
        <v>28</v>
      </c>
      <c r="M6" s="6">
        <f>0.05*38038</f>
        <v>1901.9</v>
      </c>
      <c r="N6" s="6">
        <f aca="true" t="shared" si="0" ref="N6:N11">H6+I6+J6+M6</f>
        <v>47742.9</v>
      </c>
    </row>
    <row r="7" spans="1:14" ht="12.75">
      <c r="A7" s="10" t="s">
        <v>29</v>
      </c>
      <c r="H7" s="6">
        <v>23040</v>
      </c>
      <c r="I7" s="6">
        <v>12994</v>
      </c>
      <c r="J7" s="6">
        <v>5997</v>
      </c>
      <c r="L7" s="10" t="s">
        <v>29</v>
      </c>
      <c r="M7" s="6">
        <f>0.05*30809</f>
        <v>1540.45</v>
      </c>
      <c r="N7" s="6">
        <f t="shared" si="0"/>
        <v>43571.45</v>
      </c>
    </row>
    <row r="8" spans="1:14" ht="12.75">
      <c r="A8" s="10" t="s">
        <v>41</v>
      </c>
      <c r="H8" s="6">
        <v>3281</v>
      </c>
      <c r="I8" s="6">
        <v>1483</v>
      </c>
      <c r="J8" s="6">
        <v>33</v>
      </c>
      <c r="L8" s="10" t="s">
        <v>41</v>
      </c>
      <c r="M8" s="6">
        <f>0.05*609</f>
        <v>30.450000000000003</v>
      </c>
      <c r="N8" s="6">
        <f t="shared" si="0"/>
        <v>4827.45</v>
      </c>
    </row>
    <row r="9" spans="1:14" ht="12.75">
      <c r="A9" s="10" t="s">
        <v>42</v>
      </c>
      <c r="G9" s="7" t="s">
        <v>2</v>
      </c>
      <c r="H9" s="6">
        <v>1037</v>
      </c>
      <c r="I9" s="6">
        <v>469</v>
      </c>
      <c r="J9" s="6">
        <v>10</v>
      </c>
      <c r="L9" s="10" t="s">
        <v>42</v>
      </c>
      <c r="M9" s="6">
        <f>0.05*-50</f>
        <v>-2.5</v>
      </c>
      <c r="N9" s="6">
        <f t="shared" si="0"/>
        <v>1513.5</v>
      </c>
    </row>
    <row r="10" spans="1:14" ht="12.75">
      <c r="A10" s="10" t="s">
        <v>39</v>
      </c>
      <c r="H10" s="6">
        <v>820</v>
      </c>
      <c r="I10" s="6">
        <v>371</v>
      </c>
      <c r="J10" s="6">
        <v>8</v>
      </c>
      <c r="L10" s="10" t="s">
        <v>44</v>
      </c>
      <c r="M10" s="6">
        <f>0.05*70</f>
        <v>3.5</v>
      </c>
      <c r="N10" s="6">
        <f t="shared" si="0"/>
        <v>1202.5</v>
      </c>
    </row>
    <row r="11" spans="1:14" ht="12.75">
      <c r="A11" s="10" t="s">
        <v>43</v>
      </c>
      <c r="G11" s="7" t="s">
        <v>2</v>
      </c>
      <c r="H11" s="6">
        <v>131</v>
      </c>
      <c r="I11" s="6">
        <v>59</v>
      </c>
      <c r="J11" s="6">
        <v>1</v>
      </c>
      <c r="L11" s="10"/>
      <c r="M11" s="6"/>
      <c r="N11" s="6">
        <f t="shared" si="0"/>
        <v>191</v>
      </c>
    </row>
    <row r="12" spans="1:10" ht="12.75">
      <c r="A12" s="10" t="s">
        <v>2</v>
      </c>
      <c r="B12" s="7" t="s">
        <v>2</v>
      </c>
      <c r="C12" s="7" t="s">
        <v>2</v>
      </c>
      <c r="D12" s="7" t="s">
        <v>2</v>
      </c>
      <c r="E12" s="7" t="s">
        <v>2</v>
      </c>
      <c r="F12" s="7" t="s">
        <v>2</v>
      </c>
      <c r="G12" s="7" t="s">
        <v>2</v>
      </c>
      <c r="H12" s="6" t="s">
        <v>2</v>
      </c>
      <c r="I12" s="7" t="s">
        <v>19</v>
      </c>
      <c r="J12" s="7" t="s">
        <v>2</v>
      </c>
    </row>
    <row r="13" spans="3:14" ht="12.75">
      <c r="C13" s="10"/>
      <c r="D13" s="10"/>
      <c r="E13" s="10"/>
      <c r="F13" s="10"/>
      <c r="G13" s="10"/>
      <c r="H13" s="8" t="s">
        <v>5</v>
      </c>
      <c r="I13" s="8" t="s">
        <v>6</v>
      </c>
      <c r="J13" s="8" t="s">
        <v>8</v>
      </c>
      <c r="M13" s="8" t="s">
        <v>33</v>
      </c>
      <c r="N13" s="10"/>
    </row>
    <row r="14" spans="3:14" ht="12.75">
      <c r="C14" s="8" t="s">
        <v>2</v>
      </c>
      <c r="D14" s="10"/>
      <c r="E14" s="8" t="s">
        <v>11</v>
      </c>
      <c r="F14" s="8"/>
      <c r="G14" s="12" t="s">
        <v>31</v>
      </c>
      <c r="H14" s="8" t="s">
        <v>3</v>
      </c>
      <c r="I14" s="8" t="s">
        <v>3</v>
      </c>
      <c r="J14" s="8" t="s">
        <v>3</v>
      </c>
      <c r="M14" s="8" t="s">
        <v>34</v>
      </c>
      <c r="N14" s="10"/>
    </row>
    <row r="15" spans="3:14" ht="12.75">
      <c r="C15" s="12" t="s">
        <v>9</v>
      </c>
      <c r="D15" s="10"/>
      <c r="E15" s="8" t="s">
        <v>12</v>
      </c>
      <c r="F15" s="8"/>
      <c r="G15" s="12" t="s">
        <v>32</v>
      </c>
      <c r="H15" s="8" t="s">
        <v>4</v>
      </c>
      <c r="I15" s="8" t="s">
        <v>7</v>
      </c>
      <c r="J15" s="8" t="s">
        <v>1</v>
      </c>
      <c r="M15" s="8" t="s">
        <v>35</v>
      </c>
      <c r="N15" s="8" t="s">
        <v>0</v>
      </c>
    </row>
    <row r="16" ht="12.75">
      <c r="G16" s="15"/>
    </row>
    <row r="17" spans="2:14" ht="12.75">
      <c r="B17" s="10" t="s">
        <v>17</v>
      </c>
      <c r="C17" s="7">
        <v>1</v>
      </c>
      <c r="E17" s="7">
        <v>28</v>
      </c>
      <c r="G17" s="26">
        <v>42741</v>
      </c>
      <c r="H17" s="6">
        <f>IF(AND($E17&gt;42),(H$6+($E17*H$8)+($E17-20)*H$9+($E17-35)*H$10)+($E17-42)*H$11,IF(AND($E17&gt;35,$E17&gt;=42),(H$6+($E17*H$8)+($E17-20)*H$9+($E17-35)*H$10)+($E17-42)*H$11,IF(AND($E17&gt;20,$E17&gt;=35),(H$6+($E17*H$8)+($E17-20)*H$9+($E17-35)*H$10),IF(AND($E17&gt;20,$E17&lt;=35),(H$6+($E17*H$8)+($E17-20)*H$9),H$6+($E17*H$8)))))</f>
        <v>125417</v>
      </c>
      <c r="I17" s="6">
        <f>IF(AND($E17&gt;42),(I$6+($E17*I$8)+($E17-20)*I$9+($E17-35)*I$10)+($E17-42)*I$11,IF(AND($E17&gt;35,$E17&gt;=42),(I$6+($E17*I$8)+($E17-20)*I$9+($E17-35)*I$10)+($E17-42)*I$11,IF(AND($E17&gt;20,$E17&gt;=35),(I$6+($E17*I$8)+($E17-20)*I$9+($E17-35)*I$10),IF(AND($E17&gt;20,$E17&lt;=35),(I$6+($E17*I$8)+($E17-20)*I$9),I$6+($E17*I$8)))))</f>
        <v>59470</v>
      </c>
      <c r="J17" s="6">
        <f>IF(AND($E17&gt;42),(J$6+($E17*J$8)+($E17-20)*J$9+($E17-35)*J$10)+($E17-42)*J$11,IF(AND($E17&gt;35,$E17&gt;=42),(J$6+($E17*J$8)+($E17-20)*J$9+($E17-35)*J$10)+($E17-42)*J$11,IF(AND($E17&gt;20,$E17&gt;=35),(J$6+($E17*J$8)+($E17-20)*J$9+($E17-35)*J$10),IF(AND($E17&gt;20,$E17&lt;=35),(J$6+($E17*J$8)+($E17-20)*J$9),J$6+($E17*J$8)))))</f>
        <v>7398</v>
      </c>
      <c r="M17" s="6">
        <f>IF(AND($E17&gt;20,$E17&gt;=45),(M$6+($E17*M$8)+($E17-20)*M$9+($E17-45)*M$10),IF(AND($E17&gt;20,$E17&lt;=45),(M$6+($E17*M$8)+($E17-20)*M$9),M$6+($E17*M$8)))</f>
        <v>2734.5</v>
      </c>
      <c r="N17" s="6">
        <f>SUM(H17:M17)</f>
        <v>195019.5</v>
      </c>
    </row>
    <row r="18" spans="3:15" ht="12.75">
      <c r="C18" s="7">
        <v>2</v>
      </c>
      <c r="E18" s="7">
        <v>26</v>
      </c>
      <c r="G18" s="26">
        <v>42742</v>
      </c>
      <c r="H18" s="6">
        <f aca="true" t="shared" si="1" ref="H18:J19">IF(AND($E18&gt;42),(H$7+($E18*H$8)+($E18-20)*H$9+($E18-35)*H$10)+($E18-42)*H$11,IF(AND($E18&gt;35,$E18&gt;=42),(H$7+($E18*H$8)+($E18-20)*H$9+($E18-35)*H$10)+($E18-42)*H$11,IF(AND($E18&gt;20,$E18&gt;=35),(H$7+($E18*H$8)+($E18-20)*H$9+($E18-35)*H$10),IF(AND($E18&gt;20,$E18&lt;=35),(H$7+($E18*H$8)+($E18-20)*H$9),H$7+($E18*H$8)))))</f>
        <v>114568</v>
      </c>
      <c r="I18" s="6">
        <f t="shared" si="1"/>
        <v>54366</v>
      </c>
      <c r="J18" s="6">
        <f t="shared" si="1"/>
        <v>6915</v>
      </c>
      <c r="M18" s="6">
        <f>IF(AND($E18&gt;20,$E18&gt;=45),(M$7+($E18*M$8)+($E18-20)*M$9+($E18-45)*M$10),IF(AND($E18&gt;20,$E18&lt;=45),(M$7+($E18*M$8)+($E18-20)*M$9),M$7+($E18*M$8)))</f>
        <v>2317.15</v>
      </c>
      <c r="N18" s="6">
        <f aca="true" t="shared" si="2" ref="N18:N47">SUM(H18:M18)</f>
        <v>178166.15</v>
      </c>
      <c r="O18" s="7" t="s">
        <v>2</v>
      </c>
    </row>
    <row r="19" spans="3:14" ht="12.75">
      <c r="C19" s="7">
        <v>3</v>
      </c>
      <c r="E19" s="7">
        <v>36</v>
      </c>
      <c r="G19" s="26">
        <v>42743</v>
      </c>
      <c r="H19" s="6">
        <f t="shared" si="1"/>
        <v>158568</v>
      </c>
      <c r="I19" s="6">
        <f t="shared" si="1"/>
        <v>74257</v>
      </c>
      <c r="J19" s="6">
        <f t="shared" si="1"/>
        <v>7353</v>
      </c>
      <c r="L19" s="7" t="s">
        <v>2</v>
      </c>
      <c r="M19" s="6">
        <f>IF(AND($E19&gt;20,$E19&gt;=45),(M$7+($E19*M$8)+($E19-20)*M$9+($E19-45)*M$10),IF(AND($E19&gt;20,$E19&lt;=45),(M$7+($E19*M$8)+($E19-20)*M$9),M$7+($E19*M$8)))</f>
        <v>2596.65</v>
      </c>
      <c r="N19" s="6">
        <f t="shared" si="2"/>
        <v>242774.65</v>
      </c>
    </row>
    <row r="20" spans="3:15" ht="12.75">
      <c r="C20" s="7">
        <v>4</v>
      </c>
      <c r="E20" s="7">
        <v>31</v>
      </c>
      <c r="G20" s="26">
        <v>42744</v>
      </c>
      <c r="H20" s="6">
        <f aca="true" t="shared" si="3" ref="H20:H45">IF(AND($E20&gt;42),(H$6+($E20*H$8)+($E20-20)*H$9+($E20-35)*H$10)+($E20-42)*H$11,IF(AND($E20&gt;35,$E20&gt;=42),(H$6+($E20*H$8)+($E20-20)*H$9+($E20-35)*H$10)+($E20-42)*H$11,IF(AND($E20&gt;20,$E20&gt;=35),(H$6+($E20*H$8)+($E20-20)*H$9+($E20-35)*H$10),IF(AND($E20&gt;20,$E20&lt;=35),(H$6+($E20*H$8)+($E20-20)*H$9),H$6+($E20*H$8)))))</f>
        <v>138371</v>
      </c>
      <c r="I20" s="6">
        <f aca="true" t="shared" si="4" ref="I20:I45">IF(AND($E20&gt;42),(I$6+($E20*I$8)+($E20-20)*I$9+($E20-35)*I$10)+($E20-42)*I$11,IF(AND($E20&gt;35,$E20&gt;=42),(I$6+($E20*I$8)+($E20-20)*I$9+($E20-35)*I$10)+($E20-42)*I$11,IF(AND($E20&gt;20,$E20&gt;=35),(I$6+($E20*I$8)+($E20-20)*I$9+($E20-35)*I$10),IF(AND($E20&gt;20,$E20&lt;=35),(I$6+($E20*I$8)+($E20-20)*I$9),I$6+($E20*I$8)))))</f>
        <v>65326</v>
      </c>
      <c r="J20" s="6">
        <f aca="true" t="shared" si="5" ref="J20:J45">IF(AND($E20&gt;42),(J$6+($E20*J$8)+($E20-20)*J$9+($E20-35)*J$10)+($E20-42)*J$11,IF(AND($E20&gt;35,$E20&gt;=42),(J$6+($E20*J$8)+($E20-20)*J$9+($E20-35)*J$10)+($E20-42)*J$11,IF(AND($E20&gt;20,$E20&gt;=35),(J$6+($E20*J$8)+($E20-20)*J$9+($E20-35)*J$10),IF(AND($E20&gt;20,$E20&lt;=35),(J$6+($E20*J$8)+($E20-20)*J$9),J$6+($E20*J$8)))))</f>
        <v>7527</v>
      </c>
      <c r="L20" s="7" t="s">
        <v>2</v>
      </c>
      <c r="M20" s="6">
        <f aca="true" t="shared" si="6" ref="M20:M45">IF(AND($E20&gt;20,$E20&gt;=45),(M$6+($E20*M$8)+($E20-20)*M$9+($E20-45)*M$10),IF(AND($E20&gt;20,$E20&lt;=45),(M$6+($E20*M$8)+($E20-20)*M$9),M$6+($E20*M$8)))</f>
        <v>2818.3500000000004</v>
      </c>
      <c r="N20" s="6">
        <f t="shared" si="2"/>
        <v>214042.35</v>
      </c>
      <c r="O20" s="7" t="s">
        <v>2</v>
      </c>
    </row>
    <row r="21" spans="3:14" ht="12.75">
      <c r="C21" s="7">
        <v>5</v>
      </c>
      <c r="E21" s="7">
        <v>30</v>
      </c>
      <c r="G21" s="26">
        <v>42745</v>
      </c>
      <c r="H21" s="6">
        <f t="shared" si="3"/>
        <v>134053</v>
      </c>
      <c r="I21" s="6">
        <f t="shared" si="4"/>
        <v>63374</v>
      </c>
      <c r="J21" s="6">
        <f t="shared" si="5"/>
        <v>7484</v>
      </c>
      <c r="L21" s="7" t="s">
        <v>2</v>
      </c>
      <c r="M21" s="6">
        <f t="shared" si="6"/>
        <v>2790.4</v>
      </c>
      <c r="N21" s="6">
        <f t="shared" si="2"/>
        <v>207701.4</v>
      </c>
    </row>
    <row r="22" spans="3:14" ht="12.75">
      <c r="C22" s="7">
        <v>6</v>
      </c>
      <c r="E22" s="7">
        <v>28</v>
      </c>
      <c r="G22" s="26">
        <v>42746</v>
      </c>
      <c r="H22" s="6">
        <f t="shared" si="3"/>
        <v>125417</v>
      </c>
      <c r="I22" s="6">
        <f t="shared" si="4"/>
        <v>59470</v>
      </c>
      <c r="J22" s="6">
        <f t="shared" si="5"/>
        <v>7398</v>
      </c>
      <c r="M22" s="6">
        <f t="shared" si="6"/>
        <v>2734.5</v>
      </c>
      <c r="N22" s="6">
        <f t="shared" si="2"/>
        <v>195019.5</v>
      </c>
    </row>
    <row r="23" spans="3:14" ht="12.75">
      <c r="C23" s="7">
        <v>7</v>
      </c>
      <c r="E23" s="7">
        <v>54</v>
      </c>
      <c r="G23" s="26">
        <v>42747</v>
      </c>
      <c r="H23" s="6">
        <f t="shared" si="3"/>
        <v>254837</v>
      </c>
      <c r="I23" s="6">
        <f t="shared" si="4"/>
        <v>117979</v>
      </c>
      <c r="J23" s="6">
        <f t="shared" si="5"/>
        <v>8680</v>
      </c>
      <c r="L23" s="7" t="s">
        <v>2</v>
      </c>
      <c r="M23" s="6">
        <f t="shared" si="6"/>
        <v>3492.7000000000003</v>
      </c>
      <c r="N23" s="6">
        <f t="shared" si="2"/>
        <v>384988.7</v>
      </c>
    </row>
    <row r="24" spans="3:15" ht="12.75">
      <c r="C24" s="7">
        <v>8</v>
      </c>
      <c r="E24" s="7">
        <v>72</v>
      </c>
      <c r="G24" s="26">
        <v>42748</v>
      </c>
      <c r="H24" s="6">
        <f t="shared" si="3"/>
        <v>349679</v>
      </c>
      <c r="I24" s="6">
        <f t="shared" si="4"/>
        <v>160855</v>
      </c>
      <c r="J24" s="6">
        <f t="shared" si="5"/>
        <v>9616</v>
      </c>
      <c r="L24" s="7" t="s">
        <v>2</v>
      </c>
      <c r="M24" s="6">
        <v>0</v>
      </c>
      <c r="N24" s="6">
        <f t="shared" si="2"/>
        <v>520150</v>
      </c>
      <c r="O24" s="7" t="s">
        <v>2</v>
      </c>
    </row>
    <row r="25" spans="3:14" ht="12.75">
      <c r="C25" s="7">
        <v>9</v>
      </c>
      <c r="E25" s="7">
        <v>48</v>
      </c>
      <c r="G25" s="26">
        <v>42749</v>
      </c>
      <c r="H25" s="6">
        <f aca="true" t="shared" si="7" ref="H25:J26">IF(AND($E25&gt;42),(H$7+($E25*H$8)+($E25-20)*H$9+($E25-35)*H$10)+($E25-42)*H$11,IF(AND($E25&gt;35,$E25&gt;=42),(H$7+($E25*H$8)+($E25-20)*H$9+($E25-35)*H$10)+($E25-42)*H$11,IF(AND($E25&gt;20,$E25&gt;=35),(H$7+($E25*H$8)+($E25-20)*H$9+($E25-35)*H$10),IF(AND($E25&gt;20,$E25&lt;=35),(H$7+($E25*H$8)+($E25-20)*H$9),H$7+($E25*H$8)))))</f>
        <v>221010</v>
      </c>
      <c r="I25" s="6">
        <f t="shared" si="7"/>
        <v>102487</v>
      </c>
      <c r="J25" s="6">
        <f t="shared" si="7"/>
        <v>7971</v>
      </c>
      <c r="M25" s="6">
        <f>IF(AND($E25&gt;20,$E25&gt;=45),(M$7+($E25*M$8)+($E25-20)*M$9+($E25-45)*M$10),IF(AND($E25&gt;20,$E25&lt;=45),(M$7+($E25*M$8)+($E25-20)*M$9),M$7+($E25*M$8)))</f>
        <v>2942.55</v>
      </c>
      <c r="N25" s="6">
        <f t="shared" si="2"/>
        <v>334410.55</v>
      </c>
    </row>
    <row r="26" spans="3:16" ht="12.75">
      <c r="C26" s="7">
        <v>10</v>
      </c>
      <c r="E26" s="7">
        <v>24</v>
      </c>
      <c r="G26" s="26">
        <v>42750</v>
      </c>
      <c r="H26" s="6">
        <f t="shared" si="7"/>
        <v>105932</v>
      </c>
      <c r="I26" s="6">
        <f t="shared" si="7"/>
        <v>50462</v>
      </c>
      <c r="J26" s="6">
        <f t="shared" si="7"/>
        <v>6829</v>
      </c>
      <c r="L26" s="7" t="s">
        <v>2</v>
      </c>
      <c r="M26" s="6">
        <f>IF(AND($E26&gt;20,$E26&gt;=45),(M$7+($E26*M$8)+($E26-20)*M$9+($E26-45)*M$10),IF(AND($E26&gt;20,$E26&lt;=45),(M$7+($E26*M$8)+($E26-20)*M$9),M$7+($E26*M$8)))</f>
        <v>2261.25</v>
      </c>
      <c r="N26" s="6">
        <f t="shared" si="2"/>
        <v>165484.25</v>
      </c>
      <c r="P26" s="7" t="s">
        <v>2</v>
      </c>
    </row>
    <row r="27" spans="2:14" ht="12.75">
      <c r="B27" s="7" t="s">
        <v>2</v>
      </c>
      <c r="C27" s="7">
        <v>11</v>
      </c>
      <c r="E27" s="7">
        <v>34</v>
      </c>
      <c r="G27" s="26">
        <v>42751</v>
      </c>
      <c r="H27" s="6">
        <f t="shared" si="3"/>
        <v>151325</v>
      </c>
      <c r="I27" s="6">
        <f t="shared" si="4"/>
        <v>71182</v>
      </c>
      <c r="J27" s="6">
        <f t="shared" si="5"/>
        <v>7656</v>
      </c>
      <c r="M27" s="6">
        <f t="shared" si="6"/>
        <v>2902.2000000000003</v>
      </c>
      <c r="N27" s="6">
        <f t="shared" si="2"/>
        <v>233065.2</v>
      </c>
    </row>
    <row r="28" spans="2:14" ht="12.75">
      <c r="B28" s="7" t="s">
        <v>2</v>
      </c>
      <c r="C28" s="7">
        <v>12</v>
      </c>
      <c r="E28" s="7">
        <v>22</v>
      </c>
      <c r="G28" s="26">
        <v>42752</v>
      </c>
      <c r="H28" s="6">
        <f t="shared" si="3"/>
        <v>99509</v>
      </c>
      <c r="I28" s="6">
        <f t="shared" si="4"/>
        <v>47758</v>
      </c>
      <c r="J28" s="6">
        <f t="shared" si="5"/>
        <v>7140</v>
      </c>
      <c r="M28" s="6">
        <f t="shared" si="6"/>
        <v>2566.8</v>
      </c>
      <c r="N28" s="6">
        <f t="shared" si="2"/>
        <v>156973.8</v>
      </c>
    </row>
    <row r="29" spans="2:14" ht="12.75">
      <c r="B29" s="7" t="s">
        <v>2</v>
      </c>
      <c r="C29" s="7">
        <v>13</v>
      </c>
      <c r="E29" s="7">
        <v>23</v>
      </c>
      <c r="G29" s="26">
        <v>42753</v>
      </c>
      <c r="H29" s="6">
        <f t="shared" si="3"/>
        <v>103827</v>
      </c>
      <c r="I29" s="6">
        <f t="shared" si="4"/>
        <v>49710</v>
      </c>
      <c r="J29" s="6">
        <f t="shared" si="5"/>
        <v>7183</v>
      </c>
      <c r="M29" s="6">
        <f t="shared" si="6"/>
        <v>2594.75</v>
      </c>
      <c r="N29" s="6">
        <f t="shared" si="2"/>
        <v>163314.75</v>
      </c>
    </row>
    <row r="30" spans="2:15" ht="12.75">
      <c r="B30" s="7" t="s">
        <v>2</v>
      </c>
      <c r="C30" s="7">
        <v>14</v>
      </c>
      <c r="E30" s="7">
        <v>66</v>
      </c>
      <c r="G30" s="26">
        <v>42754</v>
      </c>
      <c r="H30" s="6">
        <f t="shared" si="3"/>
        <v>318065</v>
      </c>
      <c r="I30" s="6">
        <f t="shared" si="4"/>
        <v>146563</v>
      </c>
      <c r="J30" s="6">
        <f t="shared" si="5"/>
        <v>9304</v>
      </c>
      <c r="M30" s="6">
        <f t="shared" si="6"/>
        <v>3870.1000000000004</v>
      </c>
      <c r="N30" s="6">
        <f t="shared" si="2"/>
        <v>477802.1</v>
      </c>
      <c r="O30" s="7" t="s">
        <v>2</v>
      </c>
    </row>
    <row r="31" spans="3:14" ht="12.75">
      <c r="C31" s="7">
        <v>15</v>
      </c>
      <c r="E31" s="7">
        <v>79</v>
      </c>
      <c r="G31" s="26">
        <v>42755</v>
      </c>
      <c r="H31" s="6">
        <f t="shared" si="3"/>
        <v>386562</v>
      </c>
      <c r="I31" s="6">
        <f t="shared" si="4"/>
        <v>177529</v>
      </c>
      <c r="J31" s="6">
        <f t="shared" si="5"/>
        <v>9980</v>
      </c>
      <c r="M31" s="6">
        <v>0</v>
      </c>
      <c r="N31" s="6">
        <f t="shared" si="2"/>
        <v>574071</v>
      </c>
    </row>
    <row r="32" spans="3:14" ht="12.75">
      <c r="C32" s="7">
        <v>16</v>
      </c>
      <c r="E32" s="7">
        <v>64</v>
      </c>
      <c r="G32" s="26">
        <v>42756</v>
      </c>
      <c r="H32" s="6">
        <f aca="true" t="shared" si="8" ref="H32:J33">IF(AND($E32&gt;42),(H$7+($E32*H$8)+($E32-20)*H$9+($E32-35)*H$10)+($E32-42)*H$11,IF(AND($E32&gt;35,$E32&gt;=42),(H$7+($E32*H$8)+($E32-20)*H$9+($E32-35)*H$10)+($E32-42)*H$11,IF(AND($E32&gt;20,$E32&gt;=35),(H$7+($E32*H$8)+($E32-20)*H$9+($E32-35)*H$10),IF(AND($E32&gt;20,$E32&lt;=35),(H$7+($E32*H$8)+($E32-20)*H$9),H$7+($E32*H$8)))))</f>
        <v>305314</v>
      </c>
      <c r="I32" s="6">
        <f t="shared" si="8"/>
        <v>140599</v>
      </c>
      <c r="J32" s="6">
        <f t="shared" si="8"/>
        <v>8803</v>
      </c>
      <c r="L32" s="7" t="s">
        <v>2</v>
      </c>
      <c r="M32" s="6">
        <f>IF(AND($E32&gt;20,$E32&gt;=45),(M$7+($E32*M$8)+($E32-20)*M$9+($E32-45)*M$10),IF(AND($E32&gt;20,$E32&lt;=45),(M$7+($E32*M$8)+($E32-20)*M$9),M$7+($E32*M$8)))</f>
        <v>3445.75</v>
      </c>
      <c r="N32" s="6">
        <f t="shared" si="2"/>
        <v>458161.75</v>
      </c>
    </row>
    <row r="33" spans="3:14" ht="12.75">
      <c r="C33" s="7">
        <v>17</v>
      </c>
      <c r="E33" s="7">
        <v>52</v>
      </c>
      <c r="G33" s="26">
        <v>42757</v>
      </c>
      <c r="H33" s="6">
        <f t="shared" si="8"/>
        <v>242086</v>
      </c>
      <c r="I33" s="6">
        <f t="shared" si="8"/>
        <v>112015</v>
      </c>
      <c r="J33" s="6">
        <f t="shared" si="8"/>
        <v>8179</v>
      </c>
      <c r="M33" s="6">
        <f>IF(AND($E33&gt;20,$E33&gt;=45),(M$7+($E33*M$8)+($E33-20)*M$9+($E33-45)*M$10),IF(AND($E33&gt;20,$E33&lt;=45),(M$7+($E33*M$8)+($E33-20)*M$9),M$7+($E33*M$8)))</f>
        <v>3068.3500000000004</v>
      </c>
      <c r="N33" s="6">
        <f t="shared" si="2"/>
        <v>365348.35</v>
      </c>
    </row>
    <row r="34" spans="3:14" ht="12.75">
      <c r="C34" s="7">
        <v>18</v>
      </c>
      <c r="E34" s="7">
        <v>49</v>
      </c>
      <c r="G34" s="26">
        <v>42758</v>
      </c>
      <c r="H34" s="6">
        <f t="shared" si="3"/>
        <v>228492</v>
      </c>
      <c r="I34" s="6">
        <f t="shared" si="4"/>
        <v>106069</v>
      </c>
      <c r="J34" s="6">
        <f t="shared" si="5"/>
        <v>8420</v>
      </c>
      <c r="M34" s="6">
        <f t="shared" si="6"/>
        <v>3335.4500000000003</v>
      </c>
      <c r="N34" s="6">
        <f t="shared" si="2"/>
        <v>346316.45</v>
      </c>
    </row>
    <row r="35" spans="3:14" ht="12.75">
      <c r="C35" s="7">
        <v>19</v>
      </c>
      <c r="E35" s="7">
        <v>17</v>
      </c>
      <c r="G35" s="26">
        <v>42759</v>
      </c>
      <c r="H35" s="6">
        <f t="shared" si="3"/>
        <v>81030</v>
      </c>
      <c r="I35" s="6">
        <f t="shared" si="4"/>
        <v>39405</v>
      </c>
      <c r="J35" s="6">
        <f t="shared" si="5"/>
        <v>6955</v>
      </c>
      <c r="L35" s="7" t="s">
        <v>2</v>
      </c>
      <c r="M35" s="6">
        <f t="shared" si="6"/>
        <v>2419.55</v>
      </c>
      <c r="N35" s="6">
        <f t="shared" si="2"/>
        <v>129809.55</v>
      </c>
    </row>
    <row r="36" spans="3:14" ht="12.75">
      <c r="C36" s="7">
        <v>20</v>
      </c>
      <c r="E36" s="7">
        <v>28</v>
      </c>
      <c r="G36" s="26">
        <v>42760</v>
      </c>
      <c r="H36" s="6">
        <f t="shared" si="3"/>
        <v>125417</v>
      </c>
      <c r="I36" s="6">
        <f t="shared" si="4"/>
        <v>59470</v>
      </c>
      <c r="J36" s="6">
        <f t="shared" si="5"/>
        <v>7398</v>
      </c>
      <c r="M36" s="6">
        <f t="shared" si="6"/>
        <v>2734.5</v>
      </c>
      <c r="N36" s="6">
        <f t="shared" si="2"/>
        <v>195019.5</v>
      </c>
    </row>
    <row r="37" spans="3:14" ht="12.75">
      <c r="C37" s="7">
        <v>21</v>
      </c>
      <c r="E37" s="7">
        <v>28</v>
      </c>
      <c r="G37" s="26">
        <v>42761</v>
      </c>
      <c r="H37" s="6">
        <f t="shared" si="3"/>
        <v>125417</v>
      </c>
      <c r="I37" s="6">
        <f t="shared" si="4"/>
        <v>59470</v>
      </c>
      <c r="J37" s="6">
        <f t="shared" si="5"/>
        <v>7398</v>
      </c>
      <c r="L37" s="7" t="s">
        <v>2</v>
      </c>
      <c r="M37" s="6">
        <f t="shared" si="6"/>
        <v>2734.5</v>
      </c>
      <c r="N37" s="6">
        <f t="shared" si="2"/>
        <v>195019.5</v>
      </c>
    </row>
    <row r="38" spans="3:14" ht="12.75">
      <c r="C38" s="7">
        <v>22</v>
      </c>
      <c r="E38" s="7">
        <v>36</v>
      </c>
      <c r="G38" s="26">
        <v>42762</v>
      </c>
      <c r="H38" s="6">
        <f t="shared" si="3"/>
        <v>160781</v>
      </c>
      <c r="I38" s="6">
        <f t="shared" si="4"/>
        <v>75457</v>
      </c>
      <c r="J38" s="6">
        <f t="shared" si="5"/>
        <v>7750</v>
      </c>
      <c r="M38" s="6">
        <f t="shared" si="6"/>
        <v>2958.1000000000004</v>
      </c>
      <c r="N38" s="6">
        <f t="shared" si="2"/>
        <v>246946.1</v>
      </c>
    </row>
    <row r="39" spans="3:14" ht="12.75">
      <c r="C39" s="7">
        <v>23</v>
      </c>
      <c r="E39" s="7">
        <v>31</v>
      </c>
      <c r="G39" s="26">
        <v>42763</v>
      </c>
      <c r="H39" s="6">
        <f aca="true" t="shared" si="9" ref="H39:J40">IF(AND($E39&gt;42),(H$7+($E39*H$8)+($E39-20)*H$9+($E39-35)*H$10)+($E39-42)*H$11,IF(AND($E39&gt;35,$E39&gt;=42),(H$7+($E39*H$8)+($E39-20)*H$9+($E39-35)*H$10)+($E39-42)*H$11,IF(AND($E39&gt;20,$E39&gt;=35),(H$7+($E39*H$8)+($E39-20)*H$9+($E39-35)*H$10),IF(AND($E39&gt;20,$E39&lt;=35),(H$7+($E39*H$8)+($E39-20)*H$9),H$7+($E39*H$8)))))</f>
        <v>136158</v>
      </c>
      <c r="I39" s="6">
        <f t="shared" si="9"/>
        <v>64126</v>
      </c>
      <c r="J39" s="6">
        <f t="shared" si="9"/>
        <v>7130</v>
      </c>
      <c r="M39" s="6">
        <f>IF(AND($E39&gt;20,$E39&gt;=45),(M$7+($E39*M$8)+($E39-20)*M$9+($E39-45)*M$10),IF(AND($E39&gt;20,$E39&lt;=45),(M$7+($E39*M$8)+($E39-20)*M$9),M$7+($E39*M$8)))</f>
        <v>2456.9</v>
      </c>
      <c r="N39" s="6">
        <f t="shared" si="2"/>
        <v>209870.9</v>
      </c>
    </row>
    <row r="40" spans="3:14" ht="12.75">
      <c r="C40" s="7">
        <v>24</v>
      </c>
      <c r="E40" s="7">
        <v>29</v>
      </c>
      <c r="G40" s="26">
        <v>42764</v>
      </c>
      <c r="H40" s="6">
        <f t="shared" si="9"/>
        <v>127522</v>
      </c>
      <c r="I40" s="6">
        <f t="shared" si="9"/>
        <v>60222</v>
      </c>
      <c r="J40" s="6">
        <f t="shared" si="9"/>
        <v>7044</v>
      </c>
      <c r="M40" s="6">
        <f>IF(AND($E40&gt;20,$E40&gt;=45),(M$7+($E40*M$8)+($E40-20)*M$9+($E40-45)*M$10),IF(AND($E40&gt;20,$E40&lt;=45),(M$7+($E40*M$8)+($E40-20)*M$9),M$7+($E40*M$8)))</f>
        <v>2401</v>
      </c>
      <c r="N40" s="6">
        <f t="shared" si="2"/>
        <v>197189</v>
      </c>
    </row>
    <row r="41" spans="3:14" ht="12.75">
      <c r="C41" s="7">
        <v>25</v>
      </c>
      <c r="E41" s="7">
        <v>31</v>
      </c>
      <c r="G41" s="26">
        <v>42765</v>
      </c>
      <c r="H41" s="6">
        <f t="shared" si="3"/>
        <v>138371</v>
      </c>
      <c r="I41" s="6">
        <f t="shared" si="4"/>
        <v>65326</v>
      </c>
      <c r="J41" s="6">
        <f t="shared" si="5"/>
        <v>7527</v>
      </c>
      <c r="M41" s="6">
        <f t="shared" si="6"/>
        <v>2818.3500000000004</v>
      </c>
      <c r="N41" s="6">
        <f t="shared" si="2"/>
        <v>214042.35</v>
      </c>
    </row>
    <row r="42" spans="3:14" ht="12.75">
      <c r="C42" s="7">
        <v>26</v>
      </c>
      <c r="E42" s="7">
        <v>45</v>
      </c>
      <c r="G42" s="26">
        <v>42766</v>
      </c>
      <c r="H42" s="6">
        <f t="shared" si="3"/>
        <v>207416</v>
      </c>
      <c r="I42" s="6">
        <f t="shared" si="4"/>
        <v>96541</v>
      </c>
      <c r="J42" s="6">
        <f t="shared" si="5"/>
        <v>8212</v>
      </c>
      <c r="M42" s="6">
        <f t="shared" si="6"/>
        <v>3209.6500000000005</v>
      </c>
      <c r="N42" s="6">
        <f t="shared" si="2"/>
        <v>315378.65</v>
      </c>
    </row>
    <row r="43" spans="3:14" ht="12.75">
      <c r="C43" s="7">
        <v>27</v>
      </c>
      <c r="E43" s="7">
        <v>36</v>
      </c>
      <c r="G43" s="26">
        <v>42739</v>
      </c>
      <c r="H43" s="6">
        <f t="shared" si="3"/>
        <v>160781</v>
      </c>
      <c r="I43" s="6">
        <f t="shared" si="4"/>
        <v>75457</v>
      </c>
      <c r="J43" s="6">
        <f t="shared" si="5"/>
        <v>7750</v>
      </c>
      <c r="M43" s="6">
        <f t="shared" si="6"/>
        <v>2958.1000000000004</v>
      </c>
      <c r="N43" s="6">
        <f t="shared" si="2"/>
        <v>246946.1</v>
      </c>
    </row>
    <row r="44" spans="3:14" ht="12.75">
      <c r="C44" s="7">
        <v>28</v>
      </c>
      <c r="E44" s="7">
        <v>43</v>
      </c>
      <c r="G44" s="26">
        <v>42740</v>
      </c>
      <c r="H44" s="6">
        <f t="shared" si="3"/>
        <v>196878</v>
      </c>
      <c r="I44" s="6">
        <f t="shared" si="4"/>
        <v>91777</v>
      </c>
      <c r="J44" s="6">
        <f t="shared" si="5"/>
        <v>8108</v>
      </c>
      <c r="M44" s="6">
        <f t="shared" si="6"/>
        <v>3153.75</v>
      </c>
      <c r="N44" s="6">
        <f t="shared" si="2"/>
        <v>299916.75</v>
      </c>
    </row>
    <row r="45" spans="3:14" ht="12.75">
      <c r="C45" s="7">
        <v>29</v>
      </c>
      <c r="E45" s="7">
        <v>32</v>
      </c>
      <c r="G45" s="26">
        <v>42741</v>
      </c>
      <c r="H45" s="6">
        <f t="shared" si="3"/>
        <v>142689</v>
      </c>
      <c r="I45" s="6">
        <f t="shared" si="4"/>
        <v>67278</v>
      </c>
      <c r="J45" s="6">
        <f t="shared" si="5"/>
        <v>7570</v>
      </c>
      <c r="M45" s="6">
        <f t="shared" si="6"/>
        <v>2846.3</v>
      </c>
      <c r="N45" s="6">
        <f t="shared" si="2"/>
        <v>220383.3</v>
      </c>
    </row>
    <row r="46" spans="3:14" ht="12.75">
      <c r="C46" s="7">
        <v>30</v>
      </c>
      <c r="E46" s="7">
        <v>25</v>
      </c>
      <c r="G46" s="26">
        <v>42742</v>
      </c>
      <c r="H46" s="6">
        <f aca="true" t="shared" si="10" ref="H46:J47">IF(AND($E46&gt;42),(H$7+($E46*H$8)+($E46-20)*H$9+($E46-35)*H$10)+($E46-42)*H$11,IF(AND($E46&gt;35,$E46&gt;=42),(H$7+($E46*H$8)+($E46-20)*H$9+($E46-35)*H$10)+($E46-42)*H$11,IF(AND($E46&gt;20,$E46&gt;=35),(H$7+($E46*H$8)+($E46-20)*H$9+($E46-35)*H$10),IF(AND($E46&gt;20,$E46&lt;=35),(H$7+($E46*H$8)+($E46-20)*H$9),H$7+($E46*H$8)))))</f>
        <v>110250</v>
      </c>
      <c r="I46" s="6">
        <f t="shared" si="10"/>
        <v>52414</v>
      </c>
      <c r="J46" s="6">
        <f t="shared" si="10"/>
        <v>6872</v>
      </c>
      <c r="M46" s="6">
        <f>IF(AND($E46&gt;20,$E46&gt;=45),(M$7+($E46*M$8)+($E46-20)*M$9+($E46-45)*M$10),IF(AND($E46&gt;20,$E46&lt;=45),(M$7+($E46*M$8)+($E46-20)*M$9),M$7+($E46*M$8)))</f>
        <v>2289.2000000000003</v>
      </c>
      <c r="N46" s="6">
        <f t="shared" si="2"/>
        <v>171825.2</v>
      </c>
    </row>
    <row r="47" spans="3:14" ht="12.75">
      <c r="C47" s="7">
        <v>31</v>
      </c>
      <c r="E47" s="7">
        <v>23</v>
      </c>
      <c r="G47" s="26">
        <v>42743</v>
      </c>
      <c r="H47" s="6">
        <f t="shared" si="10"/>
        <v>101614</v>
      </c>
      <c r="I47" s="6">
        <f t="shared" si="10"/>
        <v>48510</v>
      </c>
      <c r="J47" s="6">
        <f t="shared" si="10"/>
        <v>6786</v>
      </c>
      <c r="M47" s="6">
        <f>IF(AND($E47&gt;20,$E47&gt;=45),(M$7+($E47*M$8)+($E47-20)*M$9+($E47-45)*M$10),IF(AND($E47&gt;20,$E47&lt;=45),(M$7+($E47*M$8)+($E47-20)*M$9),M$7+($E47*M$8)))</f>
        <v>2233.3</v>
      </c>
      <c r="N47" s="6">
        <f t="shared" si="2"/>
        <v>159143.3</v>
      </c>
    </row>
    <row r="48" spans="7:10" ht="12.75">
      <c r="G48" s="7" t="s">
        <v>2</v>
      </c>
      <c r="H48" s="6"/>
      <c r="I48" s="6"/>
      <c r="J48" s="6"/>
    </row>
    <row r="49" spans="3:14" ht="12.75">
      <c r="C49" s="13" t="s">
        <v>0</v>
      </c>
      <c r="E49" s="6">
        <f aca="true" t="shared" si="11" ref="E49:J49">SUM(E17:E48)</f>
        <v>1170</v>
      </c>
      <c r="F49" s="6"/>
      <c r="G49" s="7" t="s">
        <v>2</v>
      </c>
      <c r="H49" s="6">
        <f t="shared" si="11"/>
        <v>5377356</v>
      </c>
      <c r="I49" s="6">
        <f t="shared" si="11"/>
        <v>2514924</v>
      </c>
      <c r="J49" s="6">
        <f t="shared" si="11"/>
        <v>240336</v>
      </c>
      <c r="M49" s="6">
        <f>SUM(M17:M48)</f>
        <v>81684.65000000001</v>
      </c>
      <c r="N49" s="6">
        <f>SUM(N17:N48)</f>
        <v>8214300.649999999</v>
      </c>
    </row>
    <row r="50" spans="3:14" ht="12.75">
      <c r="C50" s="13"/>
      <c r="E50" s="6"/>
      <c r="F50" s="6"/>
      <c r="H50" s="6"/>
      <c r="I50" s="6"/>
      <c r="J50" s="6"/>
      <c r="M50" s="6" t="s">
        <v>2</v>
      </c>
      <c r="N50" s="6"/>
    </row>
    <row r="51" spans="3:14" ht="12.75">
      <c r="C51" s="13"/>
      <c r="E51" s="6"/>
      <c r="F51" s="6"/>
      <c r="H51" s="6"/>
      <c r="I51" s="6"/>
      <c r="J51" s="6"/>
      <c r="M51" s="6" t="s">
        <v>2</v>
      </c>
      <c r="N51" s="6"/>
    </row>
    <row r="52" spans="3:14" ht="12.75">
      <c r="C52" s="13"/>
      <c r="E52" s="6"/>
      <c r="F52" s="6"/>
      <c r="H52" s="6"/>
      <c r="I52" s="6"/>
      <c r="J52" s="6"/>
      <c r="M52" s="6"/>
      <c r="N52" s="6"/>
    </row>
    <row r="53" spans="3:14" ht="12.75">
      <c r="C53" s="13"/>
      <c r="E53" s="6"/>
      <c r="F53" s="6"/>
      <c r="H53" s="6"/>
      <c r="I53" s="6"/>
      <c r="J53" s="6"/>
      <c r="M53" s="6"/>
      <c r="N53" s="6"/>
    </row>
    <row r="54" spans="3:14" ht="12.75">
      <c r="C54" s="13"/>
      <c r="E54" s="6"/>
      <c r="F54" s="6"/>
      <c r="H54" s="6"/>
      <c r="I54" s="6"/>
      <c r="J54" s="6"/>
      <c r="M54" s="6"/>
      <c r="N54" s="6"/>
    </row>
    <row r="55" spans="3:14" ht="12.75">
      <c r="C55" s="13"/>
      <c r="E55" s="6"/>
      <c r="F55" s="6"/>
      <c r="H55" s="6"/>
      <c r="I55" s="6"/>
      <c r="J55" s="6"/>
      <c r="M55" s="6"/>
      <c r="N55" s="6"/>
    </row>
    <row r="56" spans="3:14" ht="12.75">
      <c r="C56" s="13"/>
      <c r="E56" s="6"/>
      <c r="F56" s="6"/>
      <c r="H56" s="6"/>
      <c r="I56" s="6"/>
      <c r="J56" s="6"/>
      <c r="M56" s="6"/>
      <c r="N56" s="6"/>
    </row>
    <row r="57" spans="3:14" ht="12.75">
      <c r="C57" s="13"/>
      <c r="E57" s="6"/>
      <c r="F57" s="6"/>
      <c r="H57" s="6"/>
      <c r="I57" s="6"/>
      <c r="J57" s="6"/>
      <c r="M57" s="6"/>
      <c r="N57" s="6"/>
    </row>
    <row r="59" ht="12.75">
      <c r="I59" s="7" t="s">
        <v>2</v>
      </c>
    </row>
    <row r="60" spans="9:14" ht="12.75">
      <c r="I60" s="6"/>
      <c r="J60" s="6"/>
      <c r="M60" s="6"/>
      <c r="N60" s="6"/>
    </row>
    <row r="62" spans="3:14" ht="12.75">
      <c r="C62" s="10"/>
      <c r="D62" s="10"/>
      <c r="E62" s="10"/>
      <c r="F62" s="10"/>
      <c r="G62" s="8" t="s">
        <v>13</v>
      </c>
      <c r="H62" s="8" t="s">
        <v>5</v>
      </c>
      <c r="I62" s="8" t="s">
        <v>6</v>
      </c>
      <c r="J62" s="8" t="s">
        <v>8</v>
      </c>
      <c r="M62" s="8" t="s">
        <v>33</v>
      </c>
      <c r="N62" s="8"/>
    </row>
    <row r="63" spans="3:13" ht="12.75">
      <c r="C63" s="8" t="s">
        <v>2</v>
      </c>
      <c r="D63" s="10"/>
      <c r="E63" s="8" t="s">
        <v>11</v>
      </c>
      <c r="F63" s="8"/>
      <c r="G63" s="8" t="s">
        <v>14</v>
      </c>
      <c r="H63" s="8" t="s">
        <v>3</v>
      </c>
      <c r="I63" s="8" t="s">
        <v>3</v>
      </c>
      <c r="J63" s="8" t="s">
        <v>3</v>
      </c>
      <c r="M63" s="8" t="s">
        <v>34</v>
      </c>
    </row>
    <row r="64" spans="3:13" ht="12.75">
      <c r="C64" s="12" t="s">
        <v>9</v>
      </c>
      <c r="D64" s="10"/>
      <c r="E64" s="8" t="s">
        <v>12</v>
      </c>
      <c r="F64" s="8"/>
      <c r="G64" s="8" t="s">
        <v>15</v>
      </c>
      <c r="H64" s="8" t="s">
        <v>4</v>
      </c>
      <c r="I64" s="8" t="s">
        <v>7</v>
      </c>
      <c r="J64" s="8" t="s">
        <v>1</v>
      </c>
      <c r="M64" s="8" t="s">
        <v>35</v>
      </c>
    </row>
    <row r="66" spans="2:13" ht="12.75">
      <c r="B66" s="10" t="s">
        <v>17</v>
      </c>
      <c r="C66" s="7">
        <v>1</v>
      </c>
      <c r="E66" s="7">
        <f>E17</f>
        <v>28</v>
      </c>
      <c r="G66" s="6">
        <v>24924</v>
      </c>
      <c r="H66" s="6">
        <f aca="true" t="shared" si="12" ref="H66:H96">ROUND((H17/N17)*G66,0)</f>
        <v>16029</v>
      </c>
      <c r="I66" s="6">
        <f aca="true" t="shared" si="13" ref="I66:I96">ROUND((I17/N17)*G66,0)</f>
        <v>7600</v>
      </c>
      <c r="J66" s="6">
        <f aca="true" t="shared" si="14" ref="J66:J96">ROUND((J17/N17)*G66,0)</f>
        <v>945</v>
      </c>
      <c r="M66" s="6">
        <f aca="true" t="shared" si="15" ref="M66:M96">ROUND((M17/N17)*G66,0)</f>
        <v>349</v>
      </c>
    </row>
    <row r="67" spans="3:13" ht="12.75">
      <c r="C67" s="7">
        <v>2</v>
      </c>
      <c r="E67" s="7">
        <f aca="true" t="shared" si="16" ref="E67:E96">E18</f>
        <v>26</v>
      </c>
      <c r="G67" s="6">
        <v>24411</v>
      </c>
      <c r="H67" s="6">
        <f t="shared" si="12"/>
        <v>15697</v>
      </c>
      <c r="I67" s="6">
        <f t="shared" si="13"/>
        <v>7449</v>
      </c>
      <c r="J67" s="6">
        <f t="shared" si="14"/>
        <v>947</v>
      </c>
      <c r="M67" s="6">
        <f t="shared" si="15"/>
        <v>317</v>
      </c>
    </row>
    <row r="68" spans="3:13" ht="12.75">
      <c r="C68" s="7">
        <v>3</v>
      </c>
      <c r="E68" s="7">
        <f t="shared" si="16"/>
        <v>36</v>
      </c>
      <c r="G68" s="6">
        <v>64842</v>
      </c>
      <c r="H68" s="6">
        <f t="shared" si="12"/>
        <v>42351</v>
      </c>
      <c r="I68" s="6">
        <f t="shared" si="13"/>
        <v>19833</v>
      </c>
      <c r="J68" s="6">
        <f t="shared" si="14"/>
        <v>1964</v>
      </c>
      <c r="M68" s="6">
        <f t="shared" si="15"/>
        <v>694</v>
      </c>
    </row>
    <row r="69" spans="3:13" ht="12.75">
      <c r="C69" s="7">
        <v>4</v>
      </c>
      <c r="E69" s="7">
        <f t="shared" si="16"/>
        <v>31</v>
      </c>
      <c r="G69" s="6">
        <v>70473</v>
      </c>
      <c r="H69" s="6">
        <f t="shared" si="12"/>
        <v>45558</v>
      </c>
      <c r="I69" s="6">
        <f t="shared" si="13"/>
        <v>21508</v>
      </c>
      <c r="J69" s="6">
        <f t="shared" si="14"/>
        <v>2478</v>
      </c>
      <c r="M69" s="6">
        <f t="shared" si="15"/>
        <v>928</v>
      </c>
    </row>
    <row r="70" spans="3:13" ht="12.75">
      <c r="C70" s="7">
        <v>5</v>
      </c>
      <c r="E70" s="7">
        <f t="shared" si="16"/>
        <v>30</v>
      </c>
      <c r="G70" s="6">
        <v>28279</v>
      </c>
      <c r="H70" s="6">
        <f t="shared" si="12"/>
        <v>18252</v>
      </c>
      <c r="I70" s="6">
        <f t="shared" si="13"/>
        <v>8629</v>
      </c>
      <c r="J70" s="6">
        <f t="shared" si="14"/>
        <v>1019</v>
      </c>
      <c r="M70" s="6">
        <f t="shared" si="15"/>
        <v>380</v>
      </c>
    </row>
    <row r="71" spans="3:13" ht="12.75">
      <c r="C71" s="7">
        <v>6</v>
      </c>
      <c r="E71" s="7">
        <f t="shared" si="16"/>
        <v>28</v>
      </c>
      <c r="G71" s="6">
        <v>22463</v>
      </c>
      <c r="H71" s="6">
        <f t="shared" si="12"/>
        <v>14446</v>
      </c>
      <c r="I71" s="6">
        <f t="shared" si="13"/>
        <v>6850</v>
      </c>
      <c r="J71" s="6">
        <f t="shared" si="14"/>
        <v>852</v>
      </c>
      <c r="M71" s="6">
        <f t="shared" si="15"/>
        <v>315</v>
      </c>
    </row>
    <row r="72" spans="3:13" ht="12.75">
      <c r="C72" s="7">
        <v>7</v>
      </c>
      <c r="E72" s="7">
        <f t="shared" si="16"/>
        <v>54</v>
      </c>
      <c r="G72" s="6">
        <v>194261</v>
      </c>
      <c r="H72" s="6">
        <f t="shared" si="12"/>
        <v>128588</v>
      </c>
      <c r="I72" s="6">
        <f t="shared" si="13"/>
        <v>59531</v>
      </c>
      <c r="J72" s="6">
        <f t="shared" si="14"/>
        <v>4380</v>
      </c>
      <c r="M72" s="6">
        <f t="shared" si="15"/>
        <v>1762</v>
      </c>
    </row>
    <row r="73" spans="3:13" ht="12.75">
      <c r="C73" s="7">
        <v>8</v>
      </c>
      <c r="E73" s="7">
        <f t="shared" si="16"/>
        <v>72</v>
      </c>
      <c r="G73" s="6">
        <v>329396</v>
      </c>
      <c r="H73" s="6">
        <f t="shared" si="12"/>
        <v>221442</v>
      </c>
      <c r="I73" s="6">
        <f t="shared" si="13"/>
        <v>101865</v>
      </c>
      <c r="J73" s="6">
        <f t="shared" si="14"/>
        <v>6090</v>
      </c>
      <c r="M73" s="6">
        <f t="shared" si="15"/>
        <v>0</v>
      </c>
    </row>
    <row r="74" spans="3:13" ht="12.75">
      <c r="C74" s="7">
        <v>9</v>
      </c>
      <c r="E74" s="7">
        <f t="shared" si="16"/>
        <v>48</v>
      </c>
      <c r="G74" s="6">
        <v>160342</v>
      </c>
      <c r="H74" s="6">
        <f t="shared" si="12"/>
        <v>105969</v>
      </c>
      <c r="I74" s="6">
        <f t="shared" si="13"/>
        <v>49140</v>
      </c>
      <c r="J74" s="6">
        <f t="shared" si="14"/>
        <v>3822</v>
      </c>
      <c r="M74" s="6">
        <f t="shared" si="15"/>
        <v>1411</v>
      </c>
    </row>
    <row r="75" spans="3:13" ht="12.75">
      <c r="C75" s="7">
        <v>10</v>
      </c>
      <c r="E75" s="7">
        <f t="shared" si="16"/>
        <v>24</v>
      </c>
      <c r="G75" s="6">
        <v>16643</v>
      </c>
      <c r="H75" s="6">
        <f t="shared" si="12"/>
        <v>10654</v>
      </c>
      <c r="I75" s="6">
        <f t="shared" si="13"/>
        <v>5075</v>
      </c>
      <c r="J75" s="6">
        <f t="shared" si="14"/>
        <v>687</v>
      </c>
      <c r="M75" s="6">
        <f t="shared" si="15"/>
        <v>227</v>
      </c>
    </row>
    <row r="76" spans="3:13" ht="12.75">
      <c r="C76" s="7">
        <v>11</v>
      </c>
      <c r="E76" s="7">
        <f t="shared" si="16"/>
        <v>34</v>
      </c>
      <c r="G76" s="6">
        <v>60000</v>
      </c>
      <c r="H76" s="6">
        <f t="shared" si="12"/>
        <v>38957</v>
      </c>
      <c r="I76" s="6">
        <f t="shared" si="13"/>
        <v>18325</v>
      </c>
      <c r="J76" s="6">
        <f t="shared" si="14"/>
        <v>1971</v>
      </c>
      <c r="M76" s="6">
        <f t="shared" si="15"/>
        <v>747</v>
      </c>
    </row>
    <row r="77" spans="3:13" ht="12.75">
      <c r="C77" s="7">
        <v>12</v>
      </c>
      <c r="E77" s="7">
        <f t="shared" si="16"/>
        <v>22</v>
      </c>
      <c r="G77" s="6">
        <v>0</v>
      </c>
      <c r="H77" s="6">
        <f t="shared" si="12"/>
        <v>0</v>
      </c>
      <c r="I77" s="6">
        <f t="shared" si="13"/>
        <v>0</v>
      </c>
      <c r="J77" s="6">
        <f t="shared" si="14"/>
        <v>0</v>
      </c>
      <c r="M77" s="6">
        <f t="shared" si="15"/>
        <v>0</v>
      </c>
    </row>
    <row r="78" spans="3:13" ht="12.75">
      <c r="C78" s="7">
        <v>13</v>
      </c>
      <c r="E78" s="7">
        <f t="shared" si="16"/>
        <v>23</v>
      </c>
      <c r="G78" s="6">
        <v>0</v>
      </c>
      <c r="H78" s="6">
        <f t="shared" si="12"/>
        <v>0</v>
      </c>
      <c r="I78" s="6">
        <f t="shared" si="13"/>
        <v>0</v>
      </c>
      <c r="J78" s="6">
        <f t="shared" si="14"/>
        <v>0</v>
      </c>
      <c r="M78" s="6">
        <f t="shared" si="15"/>
        <v>0</v>
      </c>
    </row>
    <row r="79" spans="3:13" ht="12.75">
      <c r="C79" s="7">
        <v>14</v>
      </c>
      <c r="E79" s="7">
        <f t="shared" si="16"/>
        <v>66</v>
      </c>
      <c r="G79" s="6">
        <v>272209</v>
      </c>
      <c r="H79" s="6">
        <f t="shared" si="12"/>
        <v>181205</v>
      </c>
      <c r="I79" s="6">
        <f t="shared" si="13"/>
        <v>83499</v>
      </c>
      <c r="J79" s="6">
        <f t="shared" si="14"/>
        <v>5301</v>
      </c>
      <c r="M79" s="6">
        <f t="shared" si="15"/>
        <v>2205</v>
      </c>
    </row>
    <row r="80" spans="3:13" ht="12.75">
      <c r="C80" s="7">
        <v>15</v>
      </c>
      <c r="E80" s="7">
        <f t="shared" si="16"/>
        <v>79</v>
      </c>
      <c r="G80" s="6">
        <v>323927</v>
      </c>
      <c r="H80" s="6">
        <f t="shared" si="12"/>
        <v>218123</v>
      </c>
      <c r="I80" s="6">
        <f t="shared" si="13"/>
        <v>100173</v>
      </c>
      <c r="J80" s="6">
        <f t="shared" si="14"/>
        <v>5631</v>
      </c>
      <c r="M80" s="6">
        <f t="shared" si="15"/>
        <v>0</v>
      </c>
    </row>
    <row r="81" spans="3:13" ht="12.75">
      <c r="C81" s="7">
        <v>16</v>
      </c>
      <c r="E81" s="7">
        <f t="shared" si="16"/>
        <v>64</v>
      </c>
      <c r="G81" s="6">
        <v>251754</v>
      </c>
      <c r="H81" s="6">
        <f t="shared" si="12"/>
        <v>167766</v>
      </c>
      <c r="I81" s="6">
        <f t="shared" si="13"/>
        <v>77257</v>
      </c>
      <c r="J81" s="6">
        <f t="shared" si="14"/>
        <v>4837</v>
      </c>
      <c r="M81" s="6">
        <f t="shared" si="15"/>
        <v>1893</v>
      </c>
    </row>
    <row r="82" spans="3:13" ht="12.75">
      <c r="C82" s="7">
        <v>17</v>
      </c>
      <c r="E82" s="7">
        <f t="shared" si="16"/>
        <v>52</v>
      </c>
      <c r="G82" s="6">
        <v>157521</v>
      </c>
      <c r="H82" s="6">
        <f t="shared" si="12"/>
        <v>104376</v>
      </c>
      <c r="I82" s="6">
        <f t="shared" si="13"/>
        <v>48296</v>
      </c>
      <c r="J82" s="6">
        <f t="shared" si="14"/>
        <v>3526</v>
      </c>
      <c r="M82" s="6">
        <f t="shared" si="15"/>
        <v>1323</v>
      </c>
    </row>
    <row r="83" spans="3:13" ht="12.75">
      <c r="C83" s="7">
        <v>18</v>
      </c>
      <c r="E83" s="7">
        <f t="shared" si="16"/>
        <v>49</v>
      </c>
      <c r="G83" s="6">
        <v>153959</v>
      </c>
      <c r="H83" s="6">
        <f t="shared" si="12"/>
        <v>101579</v>
      </c>
      <c r="I83" s="6">
        <f t="shared" si="13"/>
        <v>47154</v>
      </c>
      <c r="J83" s="6">
        <f t="shared" si="14"/>
        <v>3743</v>
      </c>
      <c r="M83" s="6">
        <f t="shared" si="15"/>
        <v>1483</v>
      </c>
    </row>
    <row r="84" spans="3:13" ht="12.75">
      <c r="C84" s="7">
        <v>19</v>
      </c>
      <c r="E84" s="7">
        <f t="shared" si="16"/>
        <v>17</v>
      </c>
      <c r="G84" s="6">
        <v>27516</v>
      </c>
      <c r="H84" s="6">
        <f t="shared" si="12"/>
        <v>17176</v>
      </c>
      <c r="I84" s="6">
        <f t="shared" si="13"/>
        <v>8353</v>
      </c>
      <c r="J84" s="6">
        <f t="shared" si="14"/>
        <v>1474</v>
      </c>
      <c r="M84" s="6">
        <f t="shared" si="15"/>
        <v>513</v>
      </c>
    </row>
    <row r="85" spans="3:13" ht="12.75">
      <c r="C85" s="7">
        <v>20</v>
      </c>
      <c r="E85" s="7">
        <f t="shared" si="16"/>
        <v>28</v>
      </c>
      <c r="G85" s="6">
        <v>55629</v>
      </c>
      <c r="H85" s="6">
        <f t="shared" si="12"/>
        <v>35775</v>
      </c>
      <c r="I85" s="6">
        <f t="shared" si="13"/>
        <v>16964</v>
      </c>
      <c r="J85" s="6">
        <f t="shared" si="14"/>
        <v>2110</v>
      </c>
      <c r="M85" s="6">
        <f t="shared" si="15"/>
        <v>780</v>
      </c>
    </row>
    <row r="86" spans="3:13" ht="12.75">
      <c r="C86" s="7">
        <v>21</v>
      </c>
      <c r="E86" s="7">
        <f t="shared" si="16"/>
        <v>28</v>
      </c>
      <c r="G86" s="6">
        <v>52055</v>
      </c>
      <c r="H86" s="6">
        <f t="shared" si="12"/>
        <v>33477</v>
      </c>
      <c r="I86" s="6">
        <f t="shared" si="13"/>
        <v>15874</v>
      </c>
      <c r="J86" s="6">
        <f t="shared" si="14"/>
        <v>1975</v>
      </c>
      <c r="M86" s="6">
        <f t="shared" si="15"/>
        <v>730</v>
      </c>
    </row>
    <row r="87" spans="3:13" ht="12.75">
      <c r="C87" s="7">
        <v>22</v>
      </c>
      <c r="E87" s="7">
        <f t="shared" si="16"/>
        <v>36</v>
      </c>
      <c r="G87" s="6">
        <v>105520</v>
      </c>
      <c r="H87" s="6">
        <f t="shared" si="12"/>
        <v>68702</v>
      </c>
      <c r="I87" s="6">
        <f t="shared" si="13"/>
        <v>32243</v>
      </c>
      <c r="J87" s="6">
        <f t="shared" si="14"/>
        <v>3312</v>
      </c>
      <c r="M87" s="6">
        <f t="shared" si="15"/>
        <v>1264</v>
      </c>
    </row>
    <row r="88" spans="3:13" ht="12.75">
      <c r="C88" s="7">
        <v>23</v>
      </c>
      <c r="E88" s="7">
        <f t="shared" si="16"/>
        <v>31</v>
      </c>
      <c r="G88" s="6">
        <v>71118</v>
      </c>
      <c r="H88" s="6">
        <f t="shared" si="12"/>
        <v>46139</v>
      </c>
      <c r="I88" s="6">
        <f t="shared" si="13"/>
        <v>21730</v>
      </c>
      <c r="J88" s="6">
        <f t="shared" si="14"/>
        <v>2416</v>
      </c>
      <c r="M88" s="6">
        <f t="shared" si="15"/>
        <v>833</v>
      </c>
    </row>
    <row r="89" spans="3:13" ht="12.75">
      <c r="C89" s="7">
        <v>24</v>
      </c>
      <c r="E89" s="7">
        <f t="shared" si="16"/>
        <v>29</v>
      </c>
      <c r="G89" s="6">
        <v>57902</v>
      </c>
      <c r="H89" s="6">
        <f t="shared" si="12"/>
        <v>37445</v>
      </c>
      <c r="I89" s="6">
        <f t="shared" si="13"/>
        <v>17683</v>
      </c>
      <c r="J89" s="6">
        <f t="shared" si="14"/>
        <v>2068</v>
      </c>
      <c r="M89" s="6">
        <f t="shared" si="15"/>
        <v>705</v>
      </c>
    </row>
    <row r="90" spans="3:13" ht="12.75">
      <c r="C90" s="7">
        <v>25</v>
      </c>
      <c r="E90" s="7">
        <f t="shared" si="16"/>
        <v>31</v>
      </c>
      <c r="G90" s="6">
        <v>70402</v>
      </c>
      <c r="H90" s="6">
        <f t="shared" si="12"/>
        <v>45512</v>
      </c>
      <c r="I90" s="6">
        <f t="shared" si="13"/>
        <v>21487</v>
      </c>
      <c r="J90" s="6">
        <f t="shared" si="14"/>
        <v>2476</v>
      </c>
      <c r="M90" s="6">
        <f t="shared" si="15"/>
        <v>927</v>
      </c>
    </row>
    <row r="91" spans="3:13" ht="12.75">
      <c r="C91" s="7">
        <v>26</v>
      </c>
      <c r="E91" s="7">
        <f t="shared" si="16"/>
        <v>45</v>
      </c>
      <c r="G91" s="6">
        <v>145474</v>
      </c>
      <c r="H91" s="6">
        <f t="shared" si="12"/>
        <v>95674</v>
      </c>
      <c r="I91" s="6">
        <f t="shared" si="13"/>
        <v>44531</v>
      </c>
      <c r="J91" s="6">
        <f t="shared" si="14"/>
        <v>3788</v>
      </c>
      <c r="M91" s="6">
        <f t="shared" si="15"/>
        <v>1481</v>
      </c>
    </row>
    <row r="92" spans="3:13" ht="12.75">
      <c r="C92" s="7">
        <v>27</v>
      </c>
      <c r="E92" s="7">
        <f t="shared" si="16"/>
        <v>36</v>
      </c>
      <c r="G92" s="6">
        <v>74155</v>
      </c>
      <c r="H92" s="6">
        <f t="shared" si="12"/>
        <v>48281</v>
      </c>
      <c r="I92" s="6">
        <f t="shared" si="13"/>
        <v>22659</v>
      </c>
      <c r="J92" s="6">
        <f t="shared" si="14"/>
        <v>2327</v>
      </c>
      <c r="M92" s="6">
        <f t="shared" si="15"/>
        <v>888</v>
      </c>
    </row>
    <row r="93" spans="3:13" ht="12.75">
      <c r="C93" s="7">
        <v>28</v>
      </c>
      <c r="E93" s="7">
        <f t="shared" si="16"/>
        <v>43</v>
      </c>
      <c r="G93" s="6">
        <v>129360</v>
      </c>
      <c r="H93" s="6">
        <f t="shared" si="12"/>
        <v>84917</v>
      </c>
      <c r="I93" s="6">
        <f t="shared" si="13"/>
        <v>39585</v>
      </c>
      <c r="J93" s="6">
        <f t="shared" si="14"/>
        <v>3497</v>
      </c>
      <c r="M93" s="6">
        <f t="shared" si="15"/>
        <v>1360</v>
      </c>
    </row>
    <row r="94" spans="3:13" ht="12.75">
      <c r="C94" s="7">
        <v>29</v>
      </c>
      <c r="E94" s="7">
        <f t="shared" si="16"/>
        <v>32</v>
      </c>
      <c r="G94" s="6">
        <v>82060</v>
      </c>
      <c r="H94" s="6">
        <f t="shared" si="12"/>
        <v>53130</v>
      </c>
      <c r="I94" s="6">
        <f t="shared" si="13"/>
        <v>25051</v>
      </c>
      <c r="J94" s="6">
        <f t="shared" si="14"/>
        <v>2819</v>
      </c>
      <c r="M94" s="6">
        <f t="shared" si="15"/>
        <v>1060</v>
      </c>
    </row>
    <row r="95" spans="3:13" ht="12.75">
      <c r="C95" s="7">
        <v>30</v>
      </c>
      <c r="E95" s="7">
        <f t="shared" si="16"/>
        <v>25</v>
      </c>
      <c r="G95" s="6">
        <v>31470</v>
      </c>
      <c r="H95" s="6">
        <f t="shared" si="12"/>
        <v>20192</v>
      </c>
      <c r="I95" s="6">
        <f t="shared" si="13"/>
        <v>9600</v>
      </c>
      <c r="J95" s="6">
        <f t="shared" si="14"/>
        <v>1259</v>
      </c>
      <c r="M95" s="6">
        <f t="shared" si="15"/>
        <v>419</v>
      </c>
    </row>
    <row r="96" spans="3:13" ht="12.75">
      <c r="C96" s="7">
        <v>31</v>
      </c>
      <c r="E96" s="7">
        <f t="shared" si="16"/>
        <v>23</v>
      </c>
      <c r="G96" s="6">
        <v>32054</v>
      </c>
      <c r="H96" s="6">
        <f t="shared" si="12"/>
        <v>20467</v>
      </c>
      <c r="I96" s="6">
        <f t="shared" si="13"/>
        <v>9771</v>
      </c>
      <c r="J96" s="6">
        <f t="shared" si="14"/>
        <v>1367</v>
      </c>
      <c r="M96" s="6">
        <f t="shared" si="15"/>
        <v>450</v>
      </c>
    </row>
    <row r="97" spans="7:13" ht="12.75">
      <c r="G97" s="6"/>
      <c r="M97" s="6"/>
    </row>
    <row r="98" spans="3:14" ht="12.75">
      <c r="C98" s="13" t="s">
        <v>0</v>
      </c>
      <c r="E98" s="6">
        <f>SUM(E66:E97)</f>
        <v>1170</v>
      </c>
      <c r="F98" s="6"/>
      <c r="G98" s="6">
        <f>SUM(G66:G97)</f>
        <v>3090119</v>
      </c>
      <c r="H98" s="6">
        <f>SUM(H66:H97)</f>
        <v>2037879</v>
      </c>
      <c r="I98" s="6">
        <f>SUM(I66:I97)</f>
        <v>947715</v>
      </c>
      <c r="J98" s="6">
        <f>SUM(J66:J97)</f>
        <v>79081</v>
      </c>
      <c r="M98" s="6">
        <f>SUM(M66:M97)</f>
        <v>25444</v>
      </c>
      <c r="N98" s="6" t="s">
        <v>2</v>
      </c>
    </row>
    <row r="99" ht="12.75">
      <c r="H99" s="6" t="s">
        <v>2</v>
      </c>
    </row>
    <row r="100" spans="8:14" ht="12.75">
      <c r="H100" s="6" t="s">
        <v>2</v>
      </c>
      <c r="L100" s="6" t="s">
        <v>2</v>
      </c>
      <c r="N100" s="6"/>
    </row>
    <row r="101" spans="5:13" ht="12.75">
      <c r="E101" s="7" t="s">
        <v>2</v>
      </c>
      <c r="H101" s="7" t="s">
        <v>2</v>
      </c>
      <c r="M101" s="6" t="s">
        <v>2</v>
      </c>
    </row>
    <row r="108" ht="12.75">
      <c r="N108" s="7" t="s">
        <v>2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64" r:id="rId1"/>
  <headerFooter alignWithMargins="0">
    <oddHeader>&amp;CLOUISVILLE GAS AND ELECTRIC COMPANY
Allocation of Underground Storage Investment
Based on Design Winter
(January)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7109375" style="7" customWidth="1"/>
    <col min="3" max="3" width="6.7109375" style="7" customWidth="1"/>
    <col min="4" max="4" width="3.7109375" style="7" customWidth="1"/>
    <col min="5" max="5" width="12.7109375" style="7" customWidth="1"/>
    <col min="6" max="6" width="4.140625" style="7" customWidth="1"/>
    <col min="7" max="7" width="11.7109375" style="7" customWidth="1"/>
    <col min="8" max="8" width="12.28125" style="7" customWidth="1"/>
    <col min="9" max="9" width="14.00390625" style="7" customWidth="1"/>
    <col min="10" max="10" width="15.00390625" style="7" customWidth="1"/>
    <col min="11" max="11" width="4.00390625" style="7" customWidth="1"/>
    <col min="12" max="12" width="43.00390625" style="7" customWidth="1"/>
    <col min="13" max="13" width="12.28125" style="7" customWidth="1"/>
    <col min="14" max="14" width="12.8515625" style="7" customWidth="1"/>
    <col min="15" max="16384" width="9.140625" style="7" customWidth="1"/>
  </cols>
  <sheetData>
    <row r="1" spans="1:13" ht="12.75">
      <c r="A1" s="7" t="s">
        <v>2</v>
      </c>
      <c r="I1" s="7" t="s">
        <v>2</v>
      </c>
      <c r="M1" s="7" t="s">
        <v>2</v>
      </c>
    </row>
    <row r="3" spans="8:14" ht="12.75">
      <c r="H3" s="8" t="s">
        <v>5</v>
      </c>
      <c r="I3" s="8" t="s">
        <v>6</v>
      </c>
      <c r="J3" s="8" t="s">
        <v>8</v>
      </c>
      <c r="M3" s="8" t="s">
        <v>33</v>
      </c>
      <c r="N3" s="10"/>
    </row>
    <row r="4" spans="8:14" ht="12.75">
      <c r="H4" s="8" t="s">
        <v>3</v>
      </c>
      <c r="I4" s="8" t="s">
        <v>3</v>
      </c>
      <c r="J4" s="8" t="s">
        <v>3</v>
      </c>
      <c r="M4" s="8" t="s">
        <v>34</v>
      </c>
      <c r="N4" s="11"/>
    </row>
    <row r="5" spans="8:14" ht="12.75">
      <c r="H5" s="8" t="s">
        <v>4</v>
      </c>
      <c r="I5" s="8" t="s">
        <v>7</v>
      </c>
      <c r="J5" s="8" t="s">
        <v>1</v>
      </c>
      <c r="M5" s="8" t="s">
        <v>35</v>
      </c>
      <c r="N5" s="8" t="s">
        <v>0</v>
      </c>
    </row>
    <row r="6" spans="1:14" ht="12.75">
      <c r="A6" s="10" t="s">
        <v>28</v>
      </c>
      <c r="H6" s="6">
        <v>24430</v>
      </c>
      <c r="I6" s="6">
        <v>13657</v>
      </c>
      <c r="J6" s="6">
        <f>1204+109+4523+286</f>
        <v>6122</v>
      </c>
      <c r="L6" s="10" t="s">
        <v>28</v>
      </c>
      <c r="M6" s="6">
        <f>0.05*37238</f>
        <v>1861.9</v>
      </c>
      <c r="N6" s="6">
        <f aca="true" t="shared" si="0" ref="N6:N11">H6+I6+J6+M6</f>
        <v>46070.9</v>
      </c>
    </row>
    <row r="7" spans="1:14" ht="12.75">
      <c r="A7" s="10" t="s">
        <v>29</v>
      </c>
      <c r="H7" s="6">
        <v>22056</v>
      </c>
      <c r="I7" s="6">
        <v>12378</v>
      </c>
      <c r="J7" s="6">
        <f>1204+109+4100+286</f>
        <v>5699</v>
      </c>
      <c r="L7" s="10" t="s">
        <v>29</v>
      </c>
      <c r="M7" s="6">
        <f>0.05*34200</f>
        <v>1710</v>
      </c>
      <c r="N7" s="6">
        <f t="shared" si="0"/>
        <v>41843</v>
      </c>
    </row>
    <row r="8" spans="1:14" ht="12.75">
      <c r="A8" s="10" t="s">
        <v>46</v>
      </c>
      <c r="F8" s="7" t="s">
        <v>2</v>
      </c>
      <c r="H8" s="6">
        <v>3309</v>
      </c>
      <c r="I8" s="6">
        <v>1515</v>
      </c>
      <c r="J8" s="6">
        <v>48</v>
      </c>
      <c r="L8" s="10" t="s">
        <v>46</v>
      </c>
      <c r="M8" s="6">
        <f>0.05*609</f>
        <v>30.450000000000003</v>
      </c>
      <c r="N8" s="6">
        <f t="shared" si="0"/>
        <v>4902.45</v>
      </c>
    </row>
    <row r="9" spans="1:14" ht="12.75">
      <c r="A9" s="10" t="s">
        <v>47</v>
      </c>
      <c r="F9" s="7" t="s">
        <v>2</v>
      </c>
      <c r="H9" s="6">
        <v>809</v>
      </c>
      <c r="I9" s="6">
        <v>371</v>
      </c>
      <c r="J9" s="6">
        <v>12</v>
      </c>
      <c r="L9" s="10" t="s">
        <v>47</v>
      </c>
      <c r="M9" s="6">
        <f>0.05*-150</f>
        <v>-7.5</v>
      </c>
      <c r="N9" s="6">
        <f t="shared" si="0"/>
        <v>1184.5</v>
      </c>
    </row>
    <row r="10" spans="1:14" ht="12.75">
      <c r="A10" s="10" t="s">
        <v>55</v>
      </c>
      <c r="F10" s="7" t="s">
        <v>2</v>
      </c>
      <c r="H10" s="6">
        <v>843</v>
      </c>
      <c r="I10" s="6">
        <v>386</v>
      </c>
      <c r="J10" s="6">
        <v>12</v>
      </c>
      <c r="L10" s="10" t="s">
        <v>48</v>
      </c>
      <c r="M10" s="6">
        <f>0.05*234</f>
        <v>11.700000000000001</v>
      </c>
      <c r="N10" s="6">
        <f t="shared" si="0"/>
        <v>1252.7</v>
      </c>
    </row>
    <row r="11" spans="1:14" ht="12.75">
      <c r="A11" s="10" t="s">
        <v>45</v>
      </c>
      <c r="H11" s="6">
        <v>-779</v>
      </c>
      <c r="I11" s="6">
        <v>-357</v>
      </c>
      <c r="J11" s="6">
        <v>-11</v>
      </c>
      <c r="L11" s="10"/>
      <c r="M11" s="6"/>
      <c r="N11" s="6">
        <f t="shared" si="0"/>
        <v>-1147</v>
      </c>
    </row>
    <row r="13" spans="3:14" ht="12.75">
      <c r="C13" s="10"/>
      <c r="D13" s="10"/>
      <c r="E13" s="10"/>
      <c r="F13" s="10"/>
      <c r="G13" s="10"/>
      <c r="H13" s="8" t="s">
        <v>5</v>
      </c>
      <c r="I13" s="8" t="s">
        <v>6</v>
      </c>
      <c r="J13" s="8" t="s">
        <v>8</v>
      </c>
      <c r="M13" s="8" t="s">
        <v>33</v>
      </c>
      <c r="N13" s="10"/>
    </row>
    <row r="14" spans="3:14" ht="12.75">
      <c r="C14" s="8" t="s">
        <v>2</v>
      </c>
      <c r="D14" s="10"/>
      <c r="E14" s="8" t="s">
        <v>11</v>
      </c>
      <c r="F14" s="8"/>
      <c r="G14" s="12" t="s">
        <v>31</v>
      </c>
      <c r="H14" s="8" t="s">
        <v>3</v>
      </c>
      <c r="I14" s="8" t="s">
        <v>3</v>
      </c>
      <c r="J14" s="8" t="s">
        <v>3</v>
      </c>
      <c r="M14" s="8" t="s">
        <v>34</v>
      </c>
      <c r="N14" s="10"/>
    </row>
    <row r="15" spans="3:14" ht="12.75">
      <c r="C15" s="12" t="s">
        <v>9</v>
      </c>
      <c r="D15" s="10"/>
      <c r="E15" s="8" t="s">
        <v>12</v>
      </c>
      <c r="F15" s="8"/>
      <c r="G15" s="12" t="s">
        <v>32</v>
      </c>
      <c r="H15" s="8" t="s">
        <v>4</v>
      </c>
      <c r="I15" s="8" t="s">
        <v>7</v>
      </c>
      <c r="J15" s="8" t="s">
        <v>1</v>
      </c>
      <c r="M15" s="8" t="s">
        <v>35</v>
      </c>
      <c r="N15" s="8" t="s">
        <v>0</v>
      </c>
    </row>
    <row r="16" ht="12.75">
      <c r="G16" s="15"/>
    </row>
    <row r="17" spans="2:14" ht="12.75">
      <c r="B17" s="10" t="s">
        <v>18</v>
      </c>
      <c r="C17" s="7">
        <v>1</v>
      </c>
      <c r="E17" s="7">
        <v>22</v>
      </c>
      <c r="G17" s="26">
        <v>42772</v>
      </c>
      <c r="H17" s="6">
        <f>IF(AND($E17&gt;32,$E17&gt;=50),(H$6+($E17*H$8)+($E17-18)*H$9+($E17-32)*H$10)+($E17-50)*H$11,IF(AND($E17&gt;18,$E17&gt;=32),(H$6+($E17*H$8)+($E17-18)*H$9+($E17-32)*H$10),IF(AND($E17&gt;18,$E17&lt;=32),(H$6+($E17*H$8)+($E17-18)*H$9),H$6+($E17*H$8))))</f>
        <v>100464</v>
      </c>
      <c r="I17" s="6">
        <f>IF(AND($E17&gt;32,$E17&gt;=50),(I$6+($E17*I$8)+($E17-18)*I$9+($E17-32)*I$10)+($E17-50)*I$11,IF(AND($E17&gt;18,$E17&gt;=32),(I$6+($E17*I$8)+($E17-18)*I$9+($E17-32)*I$10),IF(AND($E17&gt;18,$E17&lt;=32),(I$6+($E17*I$8)+($E17-18)*I$9),I$6+($E17*I$8))))</f>
        <v>48471</v>
      </c>
      <c r="J17" s="6">
        <f>IF(AND($E17&gt;32,$E17&gt;=50),(J$6+($E17*J$8)+($E17-18)*J$9+($E17-32)*J$10)+($E17-50)*J$11,IF(AND($E17&gt;18,$E17&gt;=32),(J$6+($E17*J$8)+($E17-18)*J$9+($E17-32)*J$10),IF(AND($E17&gt;18,$E17&lt;=32),(J$6+($E17*J$8)+($E17-18)*J$9),J$6+($E17*J$8))))</f>
        <v>7226</v>
      </c>
      <c r="L17" s="7" t="s">
        <v>19</v>
      </c>
      <c r="M17" s="6">
        <f>IF(AND($E17&gt;18,$E17&gt;=37),(M$6+($E17*M$8)+($E17-18)*M$9+($E17-37)*M$10),IF(AND($E17&gt;18,$E17&lt;=37),(M$6+($E17*M$8)+($E17-18)*M$9),M$6+($E17*M$8)))</f>
        <v>2501.8</v>
      </c>
      <c r="N17" s="6">
        <f aca="true" t="shared" si="1" ref="N17:N44">SUM(H17:M17)</f>
        <v>158662.8</v>
      </c>
    </row>
    <row r="18" spans="3:15" ht="12.75">
      <c r="C18" s="7">
        <v>2</v>
      </c>
      <c r="E18" s="7">
        <v>27</v>
      </c>
      <c r="G18" s="26">
        <v>42773</v>
      </c>
      <c r="H18" s="6">
        <f aca="true" t="shared" si="2" ref="H18:J42">IF(AND($E18&gt;32,$E18&gt;=50),(H$6+($E18*H$8)+($E18-18)*H$9+($E18-32)*H$10)+($E18-50)*H$11,IF(AND($E18&gt;18,$E18&gt;=32),(H$6+($E18*H$8)+($E18-18)*H$9+($E18-32)*H$10),IF(AND($E18&gt;18,$E18&lt;=32),(H$6+($E18*H$8)+($E18-18)*H$9),H$6+($E18*H$8))))</f>
        <v>121054</v>
      </c>
      <c r="I18" s="6">
        <f t="shared" si="2"/>
        <v>57901</v>
      </c>
      <c r="J18" s="6">
        <f t="shared" si="2"/>
        <v>7526</v>
      </c>
      <c r="M18" s="6">
        <f aca="true" t="shared" si="3" ref="M18:M41">IF(AND($E18&gt;18,$E18&gt;=37),(M$6+($E18*M$8)+($E18-18)*M$9+($E18-37)*M$10),IF(AND($E18&gt;18,$E18&lt;=37),(M$6+($E18*M$8)+($E18-18)*M$9),M$6+($E18*M$8)))</f>
        <v>2616.55</v>
      </c>
      <c r="N18" s="6">
        <f t="shared" si="1"/>
        <v>189097.55</v>
      </c>
      <c r="O18" s="7" t="s">
        <v>2</v>
      </c>
    </row>
    <row r="19" spans="3:14" ht="12.75">
      <c r="C19" s="7">
        <v>3</v>
      </c>
      <c r="E19" s="7">
        <v>42</v>
      </c>
      <c r="G19" s="26">
        <v>42774</v>
      </c>
      <c r="H19" s="6">
        <f t="shared" si="2"/>
        <v>191254</v>
      </c>
      <c r="I19" s="6">
        <f t="shared" si="2"/>
        <v>90051</v>
      </c>
      <c r="J19" s="6">
        <f t="shared" si="2"/>
        <v>8546</v>
      </c>
      <c r="M19" s="6">
        <f t="shared" si="3"/>
        <v>3019.3</v>
      </c>
      <c r="N19" s="6">
        <f t="shared" si="1"/>
        <v>292870.3</v>
      </c>
    </row>
    <row r="20" spans="3:15" ht="12.75">
      <c r="C20" s="7">
        <v>4</v>
      </c>
      <c r="E20" s="7">
        <v>27</v>
      </c>
      <c r="G20" s="26">
        <v>42775</v>
      </c>
      <c r="H20" s="6">
        <f t="shared" si="2"/>
        <v>121054</v>
      </c>
      <c r="I20" s="6">
        <f t="shared" si="2"/>
        <v>57901</v>
      </c>
      <c r="J20" s="6">
        <f t="shared" si="2"/>
        <v>7526</v>
      </c>
      <c r="M20" s="6">
        <f t="shared" si="3"/>
        <v>2616.55</v>
      </c>
      <c r="N20" s="6">
        <f t="shared" si="1"/>
        <v>189097.55</v>
      </c>
      <c r="O20" s="7" t="s">
        <v>2</v>
      </c>
    </row>
    <row r="21" spans="3:14" ht="12.75">
      <c r="C21" s="7">
        <v>5</v>
      </c>
      <c r="E21" s="7">
        <v>21</v>
      </c>
      <c r="G21" s="26">
        <v>42776</v>
      </c>
      <c r="H21" s="6">
        <f t="shared" si="2"/>
        <v>96346</v>
      </c>
      <c r="I21" s="6">
        <f t="shared" si="2"/>
        <v>46585</v>
      </c>
      <c r="J21" s="6">
        <f t="shared" si="2"/>
        <v>7166</v>
      </c>
      <c r="M21" s="6">
        <f t="shared" si="3"/>
        <v>2478.8500000000004</v>
      </c>
      <c r="N21" s="6">
        <f t="shared" si="1"/>
        <v>152575.85</v>
      </c>
    </row>
    <row r="22" spans="3:14" ht="12.75">
      <c r="C22" s="7">
        <v>6</v>
      </c>
      <c r="E22" s="7">
        <v>33</v>
      </c>
      <c r="G22" s="26">
        <v>42777</v>
      </c>
      <c r="H22" s="6">
        <f aca="true" t="shared" si="4" ref="H22:J23">IF(AND($E22&gt;32,$E22&gt;=50),(H$7+($E22*H$8)+($E22-18)*H$9+($E22-32)*H$10)+($E22-50)*H$11,IF(AND($E22&gt;18,$E22&gt;=32),(H$7+($E22*H$8)+($E22-18)*H$9+($E22-32)*H$10),IF(AND($E22&gt;18,$E22&lt;=32),(H$7+($E22*H$8)+($E22-18)*H$9),H$7+($E22*H$8))))</f>
        <v>144231</v>
      </c>
      <c r="I22" s="6">
        <f t="shared" si="4"/>
        <v>68324</v>
      </c>
      <c r="J22" s="6">
        <f t="shared" si="4"/>
        <v>7475</v>
      </c>
      <c r="M22" s="6">
        <f>IF(AND($E22&gt;18,$E22&gt;=37),(M$7+($E22*M$8)+($E22-18)*M$9+($E22-37)*M$10),IF(AND($E22&gt;18,$E22&lt;=37),(M$7+($E22*M$8)+($E22-18)*M$9),M$7+($E22*M$8)))</f>
        <v>2602.3500000000004</v>
      </c>
      <c r="N22" s="6">
        <f t="shared" si="1"/>
        <v>222632.35</v>
      </c>
    </row>
    <row r="23" spans="3:14" ht="12.75">
      <c r="C23" s="7">
        <v>7</v>
      </c>
      <c r="E23" s="7">
        <v>45</v>
      </c>
      <c r="G23" s="26">
        <v>42778</v>
      </c>
      <c r="H23" s="6">
        <f t="shared" si="4"/>
        <v>203763</v>
      </c>
      <c r="I23" s="6">
        <f t="shared" si="4"/>
        <v>95588</v>
      </c>
      <c r="J23" s="6">
        <f t="shared" si="4"/>
        <v>8339</v>
      </c>
      <c r="L23" s="7" t="s">
        <v>19</v>
      </c>
      <c r="M23" s="6">
        <f>IF(AND($E23&gt;18,$E23&gt;=37),(M$7+($E23*M$8)+($E23-18)*M$9+($E23-37)*M$10),IF(AND($E23&gt;18,$E23&lt;=37),(M$7+($E23*M$8)+($E23-18)*M$9),M$7+($E23*M$8)))</f>
        <v>2971.35</v>
      </c>
      <c r="N23" s="6">
        <f t="shared" si="1"/>
        <v>310661.35</v>
      </c>
    </row>
    <row r="24" spans="3:15" ht="12.75">
      <c r="C24" s="7">
        <v>8</v>
      </c>
      <c r="E24" s="7">
        <v>55</v>
      </c>
      <c r="G24" s="26">
        <v>42779</v>
      </c>
      <c r="H24" s="6">
        <f t="shared" si="2"/>
        <v>251852</v>
      </c>
      <c r="I24" s="6">
        <f t="shared" si="2"/>
        <v>117802</v>
      </c>
      <c r="J24" s="6">
        <f t="shared" si="2"/>
        <v>9427</v>
      </c>
      <c r="L24" s="7" t="s">
        <v>2</v>
      </c>
      <c r="M24" s="6">
        <f t="shared" si="3"/>
        <v>3469.7500000000005</v>
      </c>
      <c r="N24" s="6">
        <f t="shared" si="1"/>
        <v>382550.75</v>
      </c>
      <c r="O24" s="7" t="s">
        <v>2</v>
      </c>
    </row>
    <row r="25" spans="3:14" ht="12.75">
      <c r="C25" s="7">
        <v>9</v>
      </c>
      <c r="E25" s="7">
        <v>61</v>
      </c>
      <c r="G25" s="26">
        <v>42780</v>
      </c>
      <c r="H25" s="6">
        <f t="shared" si="2"/>
        <v>276944</v>
      </c>
      <c r="I25" s="6">
        <f t="shared" si="2"/>
        <v>129292</v>
      </c>
      <c r="J25" s="6">
        <f t="shared" si="2"/>
        <v>9793</v>
      </c>
      <c r="M25" s="6">
        <v>0</v>
      </c>
      <c r="N25" s="6">
        <f t="shared" si="1"/>
        <v>416029</v>
      </c>
    </row>
    <row r="26" spans="3:16" ht="12.75">
      <c r="C26" s="7">
        <v>10</v>
      </c>
      <c r="E26" s="7">
        <v>44</v>
      </c>
      <c r="G26" s="26">
        <v>42781</v>
      </c>
      <c r="H26" s="6">
        <f t="shared" si="2"/>
        <v>201176</v>
      </c>
      <c r="I26" s="6">
        <f t="shared" si="2"/>
        <v>94595</v>
      </c>
      <c r="J26" s="6">
        <f t="shared" si="2"/>
        <v>8690</v>
      </c>
      <c r="L26" s="7" t="s">
        <v>2</v>
      </c>
      <c r="M26" s="6">
        <f t="shared" si="3"/>
        <v>3088.6000000000004</v>
      </c>
      <c r="N26" s="6">
        <f t="shared" si="1"/>
        <v>307549.6</v>
      </c>
      <c r="P26" s="7" t="s">
        <v>2</v>
      </c>
    </row>
    <row r="27" spans="3:14" ht="12.75">
      <c r="C27" s="7">
        <v>11</v>
      </c>
      <c r="E27" s="7">
        <v>25</v>
      </c>
      <c r="G27" s="26">
        <v>42782</v>
      </c>
      <c r="H27" s="6">
        <f t="shared" si="2"/>
        <v>112818</v>
      </c>
      <c r="I27" s="6">
        <f t="shared" si="2"/>
        <v>54129</v>
      </c>
      <c r="J27" s="6">
        <f t="shared" si="2"/>
        <v>7406</v>
      </c>
      <c r="M27" s="6">
        <f t="shared" si="3"/>
        <v>2570.65</v>
      </c>
      <c r="N27" s="6">
        <f t="shared" si="1"/>
        <v>176923.65</v>
      </c>
    </row>
    <row r="28" spans="3:14" ht="12.75">
      <c r="C28" s="7">
        <v>12</v>
      </c>
      <c r="E28" s="7">
        <v>17</v>
      </c>
      <c r="G28" s="26">
        <v>42783</v>
      </c>
      <c r="H28" s="6">
        <f t="shared" si="2"/>
        <v>80683</v>
      </c>
      <c r="I28" s="6">
        <f t="shared" si="2"/>
        <v>39412</v>
      </c>
      <c r="J28" s="6">
        <f t="shared" si="2"/>
        <v>6938</v>
      </c>
      <c r="M28" s="6">
        <f t="shared" si="3"/>
        <v>2379.55</v>
      </c>
      <c r="N28" s="6">
        <f t="shared" si="1"/>
        <v>129412.55</v>
      </c>
    </row>
    <row r="29" spans="3:16" ht="12.75">
      <c r="C29" s="7">
        <v>13</v>
      </c>
      <c r="E29" s="7">
        <v>25</v>
      </c>
      <c r="G29" s="26">
        <v>42784</v>
      </c>
      <c r="H29" s="6">
        <f aca="true" t="shared" si="5" ref="H29:J30">IF(AND($E29&gt;32,$E29&gt;=50),(H$7+($E29*H$8)+($E29-18)*H$9+($E29-32)*H$10)+($E29-50)*H$11,IF(AND($E29&gt;18,$E29&gt;=32),(H$7+($E29*H$8)+($E29-18)*H$9+($E29-32)*H$10),IF(AND($E29&gt;18,$E29&lt;=32),(H$7+($E29*H$8)+($E29-18)*H$9),H$7+($E29*H$8))))</f>
        <v>110444</v>
      </c>
      <c r="I29" s="6">
        <f t="shared" si="5"/>
        <v>52850</v>
      </c>
      <c r="J29" s="6">
        <f t="shared" si="5"/>
        <v>6983</v>
      </c>
      <c r="M29" s="6">
        <f>IF(AND($E29&gt;18,$E29&gt;=37),(M$7+($E29*M$8)+($E29-18)*M$9+($E29-37)*M$10),IF(AND($E29&gt;18,$E29&lt;=37),(M$7+($E29*M$8)+($E29-18)*M$9),M$7+($E29*M$8)))</f>
        <v>2418.75</v>
      </c>
      <c r="N29" s="6">
        <f t="shared" si="1"/>
        <v>172695.75</v>
      </c>
      <c r="P29" s="7" t="s">
        <v>2</v>
      </c>
    </row>
    <row r="30" spans="3:15" ht="12.75">
      <c r="C30" s="7">
        <v>14</v>
      </c>
      <c r="E30" s="7">
        <v>30</v>
      </c>
      <c r="G30" s="26">
        <v>42785</v>
      </c>
      <c r="H30" s="6">
        <f t="shared" si="5"/>
        <v>131034</v>
      </c>
      <c r="I30" s="6">
        <f t="shared" si="5"/>
        <v>62280</v>
      </c>
      <c r="J30" s="6">
        <f t="shared" si="5"/>
        <v>7283</v>
      </c>
      <c r="M30" s="6">
        <f>IF(AND($E30&gt;18,$E30&gt;=37),(M$7+($E30*M$8)+($E30-18)*M$9+($E30-37)*M$10),IF(AND($E30&gt;18,$E30&lt;=37),(M$7+($E30*M$8)+($E30-18)*M$9),M$7+($E30*M$8)))</f>
        <v>2533.5</v>
      </c>
      <c r="N30" s="6">
        <f t="shared" si="1"/>
        <v>203130.5</v>
      </c>
      <c r="O30" s="7" t="s">
        <v>2</v>
      </c>
    </row>
    <row r="31" spans="3:14" ht="12.75">
      <c r="C31" s="7">
        <v>15</v>
      </c>
      <c r="E31" s="7">
        <v>34</v>
      </c>
      <c r="G31" s="26">
        <v>42786</v>
      </c>
      <c r="H31" s="6">
        <f t="shared" si="2"/>
        <v>151566</v>
      </c>
      <c r="I31" s="6">
        <f t="shared" si="2"/>
        <v>71875</v>
      </c>
      <c r="J31" s="6">
        <f t="shared" si="2"/>
        <v>7970</v>
      </c>
      <c r="M31" s="6">
        <f t="shared" si="3"/>
        <v>2777.2000000000003</v>
      </c>
      <c r="N31" s="6">
        <f t="shared" si="1"/>
        <v>234188.2</v>
      </c>
    </row>
    <row r="32" spans="3:14" ht="12.75">
      <c r="C32" s="7">
        <v>16</v>
      </c>
      <c r="E32" s="7">
        <v>30</v>
      </c>
      <c r="G32" s="26">
        <v>42787</v>
      </c>
      <c r="H32" s="6">
        <f t="shared" si="2"/>
        <v>133408</v>
      </c>
      <c r="I32" s="6">
        <f t="shared" si="2"/>
        <v>63559</v>
      </c>
      <c r="J32" s="6">
        <f t="shared" si="2"/>
        <v>7706</v>
      </c>
      <c r="M32" s="6">
        <f t="shared" si="3"/>
        <v>2685.4</v>
      </c>
      <c r="N32" s="6">
        <f t="shared" si="1"/>
        <v>207358.4</v>
      </c>
    </row>
    <row r="33" spans="3:14" ht="12.75">
      <c r="C33" s="7">
        <v>17</v>
      </c>
      <c r="E33" s="7">
        <v>30</v>
      </c>
      <c r="G33" s="26">
        <v>42788</v>
      </c>
      <c r="H33" s="6">
        <f t="shared" si="2"/>
        <v>133408</v>
      </c>
      <c r="I33" s="6">
        <f t="shared" si="2"/>
        <v>63559</v>
      </c>
      <c r="J33" s="6">
        <f t="shared" si="2"/>
        <v>7706</v>
      </c>
      <c r="L33" s="7" t="s">
        <v>2</v>
      </c>
      <c r="M33" s="6">
        <f t="shared" si="3"/>
        <v>2685.4</v>
      </c>
      <c r="N33" s="6">
        <f t="shared" si="1"/>
        <v>207358.4</v>
      </c>
    </row>
    <row r="34" spans="3:14" ht="12.75">
      <c r="C34" s="7">
        <v>18</v>
      </c>
      <c r="E34" s="7">
        <v>29</v>
      </c>
      <c r="G34" s="26">
        <v>42789</v>
      </c>
      <c r="H34" s="6">
        <f t="shared" si="2"/>
        <v>129290</v>
      </c>
      <c r="I34" s="6">
        <f t="shared" si="2"/>
        <v>61673</v>
      </c>
      <c r="J34" s="6">
        <f t="shared" si="2"/>
        <v>7646</v>
      </c>
      <c r="M34" s="6">
        <f t="shared" si="3"/>
        <v>2662.4500000000003</v>
      </c>
      <c r="N34" s="6">
        <f t="shared" si="1"/>
        <v>201271.45</v>
      </c>
    </row>
    <row r="35" spans="3:14" ht="12.75">
      <c r="C35" s="7">
        <v>19</v>
      </c>
      <c r="E35" s="7">
        <v>36</v>
      </c>
      <c r="G35" s="26">
        <v>42790</v>
      </c>
      <c r="H35" s="6">
        <f t="shared" si="2"/>
        <v>161488</v>
      </c>
      <c r="I35" s="6">
        <f t="shared" si="2"/>
        <v>76419</v>
      </c>
      <c r="J35" s="6">
        <f t="shared" si="2"/>
        <v>8114</v>
      </c>
      <c r="M35" s="6">
        <f t="shared" si="3"/>
        <v>2823.1000000000004</v>
      </c>
      <c r="N35" s="6">
        <f t="shared" si="1"/>
        <v>248844.1</v>
      </c>
    </row>
    <row r="36" spans="3:14" ht="12.75">
      <c r="C36" s="7">
        <v>20</v>
      </c>
      <c r="E36" s="7">
        <v>34</v>
      </c>
      <c r="G36" s="26">
        <v>42791</v>
      </c>
      <c r="H36" s="6">
        <f aca="true" t="shared" si="6" ref="H36:J37">IF(AND($E36&gt;32,$E36&gt;=50),(H$7+($E36*H$8)+($E36-18)*H$9+($E36-32)*H$10)+($E36-50)*H$11,IF(AND($E36&gt;18,$E36&gt;=32),(H$7+($E36*H$8)+($E36-18)*H$9+($E36-32)*H$10),IF(AND($E36&gt;18,$E36&lt;=32),(H$7+($E36*H$8)+($E36-18)*H$9),H$7+($E36*H$8))))</f>
        <v>149192</v>
      </c>
      <c r="I36" s="6">
        <f t="shared" si="6"/>
        <v>70596</v>
      </c>
      <c r="J36" s="6">
        <f t="shared" si="6"/>
        <v>7547</v>
      </c>
      <c r="M36" s="6">
        <f>IF(AND($E36&gt;18,$E36&gt;=37),(M$7+($E36*M$8)+($E36-18)*M$9+($E36-37)*M$10),IF(AND($E36&gt;18,$E36&lt;=37),(M$7+($E36*M$8)+($E36-18)*M$9),M$7+($E36*M$8)))</f>
        <v>2625.3</v>
      </c>
      <c r="N36" s="6">
        <f t="shared" si="1"/>
        <v>229960.3</v>
      </c>
    </row>
    <row r="37" spans="3:14" ht="12.75">
      <c r="C37" s="7">
        <v>21</v>
      </c>
      <c r="E37" s="7">
        <v>25</v>
      </c>
      <c r="G37" s="26">
        <v>42792</v>
      </c>
      <c r="H37" s="6">
        <f t="shared" si="6"/>
        <v>110444</v>
      </c>
      <c r="I37" s="6">
        <f t="shared" si="6"/>
        <v>52850</v>
      </c>
      <c r="J37" s="6">
        <f t="shared" si="6"/>
        <v>6983</v>
      </c>
      <c r="M37" s="6">
        <f>IF(AND($E37&gt;18,$E37&gt;=37),(M$7+($E37*M$8)+($E37-18)*M$9+($E37-37)*M$10),IF(AND($E37&gt;18,$E37&lt;=37),(M$7+($E37*M$8)+($E37-18)*M$9),M$7+($E37*M$8)))</f>
        <v>2418.75</v>
      </c>
      <c r="N37" s="6">
        <f t="shared" si="1"/>
        <v>172695.75</v>
      </c>
    </row>
    <row r="38" spans="3:14" ht="12.75">
      <c r="C38" s="7">
        <v>22</v>
      </c>
      <c r="E38" s="7">
        <v>14</v>
      </c>
      <c r="G38" s="26">
        <v>42793</v>
      </c>
      <c r="H38" s="6">
        <f t="shared" si="2"/>
        <v>70756</v>
      </c>
      <c r="I38" s="6">
        <f t="shared" si="2"/>
        <v>34867</v>
      </c>
      <c r="J38" s="6">
        <f t="shared" si="2"/>
        <v>6794</v>
      </c>
      <c r="M38" s="6">
        <f t="shared" si="3"/>
        <v>2288.2000000000003</v>
      </c>
      <c r="N38" s="6">
        <f t="shared" si="1"/>
        <v>114705.2</v>
      </c>
    </row>
    <row r="39" spans="3:14" ht="12.75">
      <c r="C39" s="7">
        <v>23</v>
      </c>
      <c r="E39" s="7">
        <v>7</v>
      </c>
      <c r="G39" s="26">
        <v>42794</v>
      </c>
      <c r="H39" s="6">
        <f t="shared" si="2"/>
        <v>47593</v>
      </c>
      <c r="I39" s="6">
        <f t="shared" si="2"/>
        <v>24262</v>
      </c>
      <c r="J39" s="6">
        <f t="shared" si="2"/>
        <v>6458</v>
      </c>
      <c r="L39" s="7" t="s">
        <v>2</v>
      </c>
      <c r="M39" s="6">
        <f t="shared" si="3"/>
        <v>2075.05</v>
      </c>
      <c r="N39" s="6">
        <f t="shared" si="1"/>
        <v>80388.05</v>
      </c>
    </row>
    <row r="40" spans="3:14" ht="12.75">
      <c r="C40" s="7">
        <v>24</v>
      </c>
      <c r="E40" s="7">
        <v>34</v>
      </c>
      <c r="G40" s="26">
        <v>42788</v>
      </c>
      <c r="H40" s="6">
        <f t="shared" si="2"/>
        <v>151566</v>
      </c>
      <c r="I40" s="6">
        <f t="shared" si="2"/>
        <v>71875</v>
      </c>
      <c r="J40" s="6">
        <f t="shared" si="2"/>
        <v>7970</v>
      </c>
      <c r="M40" s="6">
        <f t="shared" si="3"/>
        <v>2777.2000000000003</v>
      </c>
      <c r="N40" s="6">
        <f t="shared" si="1"/>
        <v>234188.2</v>
      </c>
    </row>
    <row r="41" spans="3:14" ht="12.75">
      <c r="C41" s="7">
        <v>25</v>
      </c>
      <c r="E41" s="7">
        <v>48</v>
      </c>
      <c r="G41" s="26">
        <v>42789</v>
      </c>
      <c r="H41" s="6">
        <f t="shared" si="2"/>
        <v>221020</v>
      </c>
      <c r="I41" s="6">
        <f t="shared" si="2"/>
        <v>103683</v>
      </c>
      <c r="J41" s="6">
        <f t="shared" si="2"/>
        <v>8978</v>
      </c>
      <c r="M41" s="6">
        <f t="shared" si="3"/>
        <v>3227.2</v>
      </c>
      <c r="N41" s="6">
        <f t="shared" si="1"/>
        <v>336908.2</v>
      </c>
    </row>
    <row r="42" spans="3:14" ht="12.75">
      <c r="C42" s="7">
        <v>26</v>
      </c>
      <c r="E42" s="7">
        <v>61</v>
      </c>
      <c r="G42" s="26">
        <v>42776</v>
      </c>
      <c r="H42" s="6">
        <f t="shared" si="2"/>
        <v>276944</v>
      </c>
      <c r="I42" s="6">
        <f t="shared" si="2"/>
        <v>129292</v>
      </c>
      <c r="J42" s="6">
        <f t="shared" si="2"/>
        <v>9793</v>
      </c>
      <c r="M42" s="6">
        <v>0</v>
      </c>
      <c r="N42" s="6">
        <f t="shared" si="1"/>
        <v>416029</v>
      </c>
    </row>
    <row r="43" spans="3:14" ht="12.75">
      <c r="C43" s="7">
        <v>27</v>
      </c>
      <c r="E43" s="7">
        <v>49</v>
      </c>
      <c r="G43" s="26">
        <v>42777</v>
      </c>
      <c r="H43" s="6">
        <f aca="true" t="shared" si="7" ref="H43:J44">IF(AND($E43&gt;32,$E43&gt;=50),(H$7+($E43*H$8)+($E43-18)*H$9+($E43-32)*H$10)+($E43-50)*H$11,IF(AND($E43&gt;18,$E43&gt;=32),(H$7+($E43*H$8)+($E43-18)*H$9+($E43-32)*H$10),IF(AND($E43&gt;18,$E43&lt;=32),(H$7+($E43*H$8)+($E43-18)*H$9),H$7+($E43*H$8))))</f>
        <v>223607</v>
      </c>
      <c r="I43" s="6">
        <f t="shared" si="7"/>
        <v>104676</v>
      </c>
      <c r="J43" s="6">
        <f t="shared" si="7"/>
        <v>8627</v>
      </c>
      <c r="M43" s="6">
        <f>IF(AND($E43&gt;18,$E43&gt;=37),(M$7+($E43*M$8)+($E43-18)*M$9+($E43-37)*M$10),IF(AND($E43&gt;18,$E43&lt;=37),(M$7+($E43*M$8)+($E43-18)*M$9),M$7+($E43*M$8)))</f>
        <v>3109.9500000000003</v>
      </c>
      <c r="N43" s="6">
        <f t="shared" si="1"/>
        <v>340019.95</v>
      </c>
    </row>
    <row r="44" spans="3:14" ht="12.75">
      <c r="C44" s="7">
        <v>28</v>
      </c>
      <c r="E44" s="7">
        <v>37</v>
      </c>
      <c r="G44" s="26">
        <v>42778</v>
      </c>
      <c r="H44" s="6">
        <f t="shared" si="7"/>
        <v>164075</v>
      </c>
      <c r="I44" s="6">
        <f t="shared" si="7"/>
        <v>77412</v>
      </c>
      <c r="J44" s="6">
        <f t="shared" si="7"/>
        <v>7763</v>
      </c>
      <c r="M44" s="6">
        <f>IF(AND($E44&gt;18,$E44&gt;=37),(M$7+($E44*M$8)+($E44-18)*M$9+($E44-37)*M$10),IF(AND($E44&gt;18,$E44&lt;=37),(M$7+($E44*M$8)+($E44-18)*M$9),M$7+($E44*M$8)))</f>
        <v>2694.15</v>
      </c>
      <c r="N44" s="6">
        <f t="shared" si="1"/>
        <v>251944.15</v>
      </c>
    </row>
    <row r="45" spans="7:14" ht="12.75">
      <c r="G45" s="16"/>
      <c r="H45" s="6" t="s">
        <v>2</v>
      </c>
      <c r="I45" s="6"/>
      <c r="J45" s="6"/>
      <c r="M45" s="6"/>
      <c r="N45" s="6"/>
    </row>
    <row r="46" spans="7:15" ht="12.75">
      <c r="G46" s="7" t="s">
        <v>2</v>
      </c>
      <c r="H46" s="6"/>
      <c r="I46" s="6"/>
      <c r="J46" s="6"/>
      <c r="K46" s="6"/>
      <c r="L46" s="6"/>
      <c r="M46" s="6"/>
      <c r="N46" s="6"/>
      <c r="O46" s="6"/>
    </row>
    <row r="47" spans="7:10" ht="12.75">
      <c r="G47" s="7" t="s">
        <v>2</v>
      </c>
      <c r="H47" s="6"/>
      <c r="I47" s="6"/>
      <c r="J47" s="6"/>
    </row>
    <row r="48" spans="3:14" ht="12.75">
      <c r="C48" s="13" t="s">
        <v>0</v>
      </c>
      <c r="E48" s="6">
        <f aca="true" t="shared" si="8" ref="E48:J48">SUM(E17:E47)</f>
        <v>942</v>
      </c>
      <c r="F48" s="6"/>
      <c r="G48" s="7" t="s">
        <v>2</v>
      </c>
      <c r="H48" s="6">
        <f t="shared" si="8"/>
        <v>4267474</v>
      </c>
      <c r="I48" s="6">
        <f t="shared" si="8"/>
        <v>2021779</v>
      </c>
      <c r="J48" s="6">
        <f t="shared" si="8"/>
        <v>220379</v>
      </c>
      <c r="M48" s="6">
        <f>SUM(M17:M47)</f>
        <v>70116.9</v>
      </c>
      <c r="N48" s="6">
        <f>SUM(N17:N47)</f>
        <v>6579748.9</v>
      </c>
    </row>
    <row r="50" spans="9:10" ht="12.75">
      <c r="I50" s="7" t="s">
        <v>2</v>
      </c>
      <c r="J50" s="7" t="s">
        <v>2</v>
      </c>
    </row>
    <row r="58" ht="12.75">
      <c r="I58" s="7" t="s">
        <v>2</v>
      </c>
    </row>
    <row r="59" spans="9:14" ht="12.75">
      <c r="I59" s="6"/>
      <c r="J59" s="6"/>
      <c r="M59" s="6"/>
      <c r="N59" s="6"/>
    </row>
    <row r="61" spans="3:14" ht="12.75">
      <c r="C61" s="10"/>
      <c r="D61" s="10"/>
      <c r="E61" s="10"/>
      <c r="F61" s="10"/>
      <c r="G61" s="8" t="s">
        <v>13</v>
      </c>
      <c r="H61" s="8" t="s">
        <v>5</v>
      </c>
      <c r="I61" s="8" t="s">
        <v>6</v>
      </c>
      <c r="J61" s="8" t="s">
        <v>8</v>
      </c>
      <c r="M61" s="8" t="s">
        <v>33</v>
      </c>
      <c r="N61" s="8"/>
    </row>
    <row r="62" spans="3:13" ht="12.75">
      <c r="C62" s="8" t="s">
        <v>2</v>
      </c>
      <c r="D62" s="10"/>
      <c r="E62" s="8" t="s">
        <v>11</v>
      </c>
      <c r="F62" s="8"/>
      <c r="G62" s="8" t="s">
        <v>14</v>
      </c>
      <c r="H62" s="8" t="s">
        <v>3</v>
      </c>
      <c r="I62" s="8" t="s">
        <v>3</v>
      </c>
      <c r="J62" s="8" t="s">
        <v>3</v>
      </c>
      <c r="M62" s="8" t="s">
        <v>34</v>
      </c>
    </row>
    <row r="63" spans="3:13" ht="12.75">
      <c r="C63" s="12" t="s">
        <v>9</v>
      </c>
      <c r="D63" s="10"/>
      <c r="E63" s="8" t="s">
        <v>12</v>
      </c>
      <c r="F63" s="8"/>
      <c r="G63" s="8" t="s">
        <v>15</v>
      </c>
      <c r="H63" s="8" t="s">
        <v>4</v>
      </c>
      <c r="I63" s="8" t="s">
        <v>7</v>
      </c>
      <c r="J63" s="8" t="s">
        <v>1</v>
      </c>
      <c r="M63" s="8" t="s">
        <v>35</v>
      </c>
    </row>
    <row r="65" spans="2:13" ht="12.75">
      <c r="B65" s="10" t="s">
        <v>18</v>
      </c>
      <c r="C65" s="7">
        <v>1</v>
      </c>
      <c r="E65" s="7">
        <f>E17</f>
        <v>22</v>
      </c>
      <c r="G65" s="6">
        <v>26156</v>
      </c>
      <c r="H65" s="6">
        <f aca="true" t="shared" si="9" ref="H65:H92">ROUND((H17/N17)*G65,0)</f>
        <v>16562</v>
      </c>
      <c r="I65" s="6">
        <f aca="true" t="shared" si="10" ref="I65:I92">ROUND((I17/N17)*G65,0)</f>
        <v>7991</v>
      </c>
      <c r="J65" s="6">
        <f aca="true" t="shared" si="11" ref="J65:J92">ROUND((J17/N17)*G65,0)</f>
        <v>1191</v>
      </c>
      <c r="M65" s="6">
        <f aca="true" t="shared" si="12" ref="M65:M92">ROUND((M17/N17)*G65,0)</f>
        <v>412</v>
      </c>
    </row>
    <row r="66" spans="3:13" ht="12.75">
      <c r="C66" s="7">
        <v>2</v>
      </c>
      <c r="E66" s="7">
        <f aca="true" t="shared" si="13" ref="E66:E92">E18</f>
        <v>27</v>
      </c>
      <c r="G66" s="6">
        <v>58011</v>
      </c>
      <c r="H66" s="6">
        <f t="shared" si="9"/>
        <v>37137</v>
      </c>
      <c r="I66" s="6">
        <f t="shared" si="10"/>
        <v>17763</v>
      </c>
      <c r="J66" s="6">
        <f t="shared" si="11"/>
        <v>2309</v>
      </c>
      <c r="M66" s="6">
        <f t="shared" si="12"/>
        <v>803</v>
      </c>
    </row>
    <row r="67" spans="3:13" ht="12.75">
      <c r="C67" s="7">
        <v>3</v>
      </c>
      <c r="E67" s="7">
        <f t="shared" si="13"/>
        <v>42</v>
      </c>
      <c r="G67" s="6">
        <v>166624</v>
      </c>
      <c r="H67" s="6">
        <f t="shared" si="9"/>
        <v>108811</v>
      </c>
      <c r="I67" s="6">
        <f t="shared" si="10"/>
        <v>51233</v>
      </c>
      <c r="J67" s="6">
        <f t="shared" si="11"/>
        <v>4862</v>
      </c>
      <c r="M67" s="6">
        <f t="shared" si="12"/>
        <v>1718</v>
      </c>
    </row>
    <row r="68" spans="3:13" ht="12.75">
      <c r="C68" s="7">
        <v>4</v>
      </c>
      <c r="E68" s="7">
        <f t="shared" si="13"/>
        <v>27</v>
      </c>
      <c r="G68" s="6">
        <v>58011</v>
      </c>
      <c r="H68" s="6">
        <f t="shared" si="9"/>
        <v>37137</v>
      </c>
      <c r="I68" s="6">
        <f t="shared" si="10"/>
        <v>17763</v>
      </c>
      <c r="J68" s="6">
        <f t="shared" si="11"/>
        <v>2309</v>
      </c>
      <c r="M68" s="6">
        <f t="shared" si="12"/>
        <v>803</v>
      </c>
    </row>
    <row r="69" spans="3:13" ht="12.75">
      <c r="C69" s="7">
        <v>5</v>
      </c>
      <c r="E69" s="7">
        <f t="shared" si="13"/>
        <v>21</v>
      </c>
      <c r="G69" s="6">
        <v>19785</v>
      </c>
      <c r="H69" s="6">
        <f t="shared" si="9"/>
        <v>12493</v>
      </c>
      <c r="I69" s="6">
        <f t="shared" si="10"/>
        <v>6041</v>
      </c>
      <c r="J69" s="6">
        <f t="shared" si="11"/>
        <v>929</v>
      </c>
      <c r="M69" s="6">
        <f t="shared" si="12"/>
        <v>321</v>
      </c>
    </row>
    <row r="70" spans="3:13" ht="12.75">
      <c r="C70" s="7">
        <v>6</v>
      </c>
      <c r="E70" s="7">
        <f t="shared" si="13"/>
        <v>33</v>
      </c>
      <c r="G70" s="6">
        <v>93117</v>
      </c>
      <c r="H70" s="6">
        <f t="shared" si="9"/>
        <v>60325</v>
      </c>
      <c r="I70" s="6">
        <f t="shared" si="10"/>
        <v>28577</v>
      </c>
      <c r="J70" s="6">
        <f t="shared" si="11"/>
        <v>3126</v>
      </c>
      <c r="M70" s="6">
        <f t="shared" si="12"/>
        <v>1088</v>
      </c>
    </row>
    <row r="71" spans="3:13" ht="12.75">
      <c r="C71" s="7">
        <v>7</v>
      </c>
      <c r="E71" s="7">
        <f t="shared" si="13"/>
        <v>45</v>
      </c>
      <c r="G71" s="6">
        <v>185250</v>
      </c>
      <c r="H71" s="6">
        <f t="shared" si="9"/>
        <v>121506</v>
      </c>
      <c r="I71" s="6">
        <f t="shared" si="10"/>
        <v>57000</v>
      </c>
      <c r="J71" s="6">
        <f t="shared" si="11"/>
        <v>4973</v>
      </c>
      <c r="M71" s="6">
        <f t="shared" si="12"/>
        <v>1772</v>
      </c>
    </row>
    <row r="72" spans="3:13" ht="12.75">
      <c r="C72" s="7">
        <v>8</v>
      </c>
      <c r="E72" s="7">
        <f t="shared" si="13"/>
        <v>55</v>
      </c>
      <c r="G72" s="6">
        <v>257436</v>
      </c>
      <c r="H72" s="6">
        <f t="shared" si="9"/>
        <v>169483</v>
      </c>
      <c r="I72" s="6">
        <f t="shared" si="10"/>
        <v>79274</v>
      </c>
      <c r="J72" s="6">
        <f t="shared" si="11"/>
        <v>6344</v>
      </c>
      <c r="L72" s="6"/>
      <c r="M72" s="6">
        <f t="shared" si="12"/>
        <v>2335</v>
      </c>
    </row>
    <row r="73" spans="3:13" ht="12.75">
      <c r="C73" s="7">
        <v>9</v>
      </c>
      <c r="E73" s="7">
        <f t="shared" si="13"/>
        <v>61</v>
      </c>
      <c r="G73" s="6">
        <v>281249</v>
      </c>
      <c r="H73" s="6">
        <f t="shared" si="9"/>
        <v>187223</v>
      </c>
      <c r="I73" s="6">
        <f t="shared" si="10"/>
        <v>87406</v>
      </c>
      <c r="J73" s="6">
        <f t="shared" si="11"/>
        <v>6620</v>
      </c>
      <c r="L73" s="6"/>
      <c r="M73" s="6">
        <f t="shared" si="12"/>
        <v>0</v>
      </c>
    </row>
    <row r="74" spans="3:13" ht="12.75">
      <c r="C74" s="7">
        <v>10</v>
      </c>
      <c r="E74" s="7">
        <f t="shared" si="13"/>
        <v>44</v>
      </c>
      <c r="G74" s="6">
        <v>181987</v>
      </c>
      <c r="H74" s="6">
        <f t="shared" si="9"/>
        <v>119042</v>
      </c>
      <c r="I74" s="6">
        <f t="shared" si="10"/>
        <v>55975</v>
      </c>
      <c r="J74" s="6">
        <f t="shared" si="11"/>
        <v>5142</v>
      </c>
      <c r="L74" s="6"/>
      <c r="M74" s="6">
        <f t="shared" si="12"/>
        <v>1828</v>
      </c>
    </row>
    <row r="75" spans="3:13" ht="12.75">
      <c r="C75" s="7">
        <v>11</v>
      </c>
      <c r="E75" s="7">
        <f t="shared" si="13"/>
        <v>25</v>
      </c>
      <c r="G75" s="6">
        <v>64047</v>
      </c>
      <c r="H75" s="6">
        <f t="shared" si="9"/>
        <v>40841</v>
      </c>
      <c r="I75" s="6">
        <f t="shared" si="10"/>
        <v>19595</v>
      </c>
      <c r="J75" s="6">
        <f t="shared" si="11"/>
        <v>2681</v>
      </c>
      <c r="L75" s="6"/>
      <c r="M75" s="6">
        <f t="shared" si="12"/>
        <v>931</v>
      </c>
    </row>
    <row r="76" spans="3:13" ht="12.75">
      <c r="C76" s="7">
        <v>12</v>
      </c>
      <c r="E76" s="7">
        <f t="shared" si="13"/>
        <v>17</v>
      </c>
      <c r="G76" s="6">
        <v>14319</v>
      </c>
      <c r="H76" s="6">
        <f t="shared" si="9"/>
        <v>8927</v>
      </c>
      <c r="I76" s="6">
        <f t="shared" si="10"/>
        <v>4361</v>
      </c>
      <c r="J76" s="6">
        <f t="shared" si="11"/>
        <v>768</v>
      </c>
      <c r="L76" s="6"/>
      <c r="M76" s="6">
        <f t="shared" si="12"/>
        <v>263</v>
      </c>
    </row>
    <row r="77" spans="3:13" ht="12.75">
      <c r="C77" s="7">
        <v>13</v>
      </c>
      <c r="E77" s="7">
        <f t="shared" si="13"/>
        <v>25</v>
      </c>
      <c r="G77" s="6">
        <v>59628</v>
      </c>
      <c r="H77" s="6">
        <f t="shared" si="9"/>
        <v>38134</v>
      </c>
      <c r="I77" s="6">
        <f t="shared" si="10"/>
        <v>18248</v>
      </c>
      <c r="J77" s="6">
        <f t="shared" si="11"/>
        <v>2411</v>
      </c>
      <c r="L77" s="6"/>
      <c r="M77" s="6">
        <f t="shared" si="12"/>
        <v>835</v>
      </c>
    </row>
    <row r="78" spans="3:13" ht="12.75">
      <c r="C78" s="7">
        <v>14</v>
      </c>
      <c r="E78" s="7">
        <f t="shared" si="13"/>
        <v>30</v>
      </c>
      <c r="G78" s="6">
        <v>91482</v>
      </c>
      <c r="H78" s="6">
        <f t="shared" si="9"/>
        <v>59013</v>
      </c>
      <c r="I78" s="6">
        <f t="shared" si="10"/>
        <v>28048</v>
      </c>
      <c r="J78" s="6">
        <f t="shared" si="11"/>
        <v>3280</v>
      </c>
      <c r="L78" s="6"/>
      <c r="M78" s="6">
        <f t="shared" si="12"/>
        <v>1141</v>
      </c>
    </row>
    <row r="79" spans="3:13" ht="12.75">
      <c r="C79" s="7">
        <v>15</v>
      </c>
      <c r="E79" s="7">
        <f t="shared" si="13"/>
        <v>34</v>
      </c>
      <c r="G79" s="6">
        <v>105206</v>
      </c>
      <c r="H79" s="6">
        <f t="shared" si="9"/>
        <v>68089</v>
      </c>
      <c r="I79" s="6">
        <f t="shared" si="10"/>
        <v>32289</v>
      </c>
      <c r="J79" s="6">
        <f t="shared" si="11"/>
        <v>3580</v>
      </c>
      <c r="L79" s="6"/>
      <c r="M79" s="6">
        <f t="shared" si="12"/>
        <v>1248</v>
      </c>
    </row>
    <row r="80" spans="3:13" ht="12.75">
      <c r="C80" s="7">
        <v>16</v>
      </c>
      <c r="E80" s="7">
        <f t="shared" si="13"/>
        <v>30</v>
      </c>
      <c r="G80" s="6">
        <v>77124</v>
      </c>
      <c r="H80" s="6">
        <f t="shared" si="9"/>
        <v>49619</v>
      </c>
      <c r="I80" s="6">
        <f t="shared" si="10"/>
        <v>23640</v>
      </c>
      <c r="J80" s="6">
        <f t="shared" si="11"/>
        <v>2866</v>
      </c>
      <c r="L80" s="6"/>
      <c r="M80" s="6">
        <f t="shared" si="12"/>
        <v>999</v>
      </c>
    </row>
    <row r="81" spans="3:13" ht="12.75">
      <c r="C81" s="7">
        <v>17</v>
      </c>
      <c r="E81" s="7">
        <f t="shared" si="13"/>
        <v>30</v>
      </c>
      <c r="G81" s="6">
        <v>91527</v>
      </c>
      <c r="H81" s="6">
        <f t="shared" si="9"/>
        <v>58886</v>
      </c>
      <c r="I81" s="6">
        <f t="shared" si="10"/>
        <v>28055</v>
      </c>
      <c r="J81" s="6">
        <f t="shared" si="11"/>
        <v>3401</v>
      </c>
      <c r="L81" s="6"/>
      <c r="M81" s="6">
        <f t="shared" si="12"/>
        <v>1185</v>
      </c>
    </row>
    <row r="82" spans="3:13" ht="12.75">
      <c r="C82" s="7">
        <v>18</v>
      </c>
      <c r="E82" s="7">
        <f t="shared" si="13"/>
        <v>29</v>
      </c>
      <c r="G82" s="6">
        <v>78237</v>
      </c>
      <c r="H82" s="6">
        <f t="shared" si="9"/>
        <v>50257</v>
      </c>
      <c r="I82" s="6">
        <f t="shared" si="10"/>
        <v>23973</v>
      </c>
      <c r="J82" s="6">
        <f t="shared" si="11"/>
        <v>2972</v>
      </c>
      <c r="L82" s="6"/>
      <c r="M82" s="6">
        <f t="shared" si="12"/>
        <v>1035</v>
      </c>
    </row>
    <row r="83" spans="3:13" ht="12.75">
      <c r="C83" s="7">
        <v>19</v>
      </c>
      <c r="E83" s="7">
        <f t="shared" si="13"/>
        <v>36</v>
      </c>
      <c r="G83" s="6">
        <v>112128</v>
      </c>
      <c r="H83" s="6">
        <f t="shared" si="9"/>
        <v>72766</v>
      </c>
      <c r="I83" s="6">
        <f t="shared" si="10"/>
        <v>34434</v>
      </c>
      <c r="J83" s="6">
        <f t="shared" si="11"/>
        <v>3656</v>
      </c>
      <c r="L83" s="6"/>
      <c r="M83" s="6">
        <f t="shared" si="12"/>
        <v>1272</v>
      </c>
    </row>
    <row r="84" spans="3:13" ht="12.75">
      <c r="C84" s="7">
        <v>20</v>
      </c>
      <c r="E84" s="7">
        <f t="shared" si="13"/>
        <v>34</v>
      </c>
      <c r="G84" s="6">
        <v>105622</v>
      </c>
      <c r="H84" s="6">
        <f t="shared" si="9"/>
        <v>68525</v>
      </c>
      <c r="I84" s="6">
        <f t="shared" si="10"/>
        <v>32425</v>
      </c>
      <c r="J84" s="6">
        <f t="shared" si="11"/>
        <v>3466</v>
      </c>
      <c r="L84" s="6"/>
      <c r="M84" s="6">
        <f t="shared" si="12"/>
        <v>1206</v>
      </c>
    </row>
    <row r="85" spans="3:13" ht="12.75">
      <c r="C85" s="7">
        <v>21</v>
      </c>
      <c r="E85" s="7">
        <f t="shared" si="13"/>
        <v>25</v>
      </c>
      <c r="G85" s="6">
        <v>59628</v>
      </c>
      <c r="H85" s="6">
        <f t="shared" si="9"/>
        <v>38134</v>
      </c>
      <c r="I85" s="6">
        <f t="shared" si="10"/>
        <v>18248</v>
      </c>
      <c r="J85" s="6">
        <f t="shared" si="11"/>
        <v>2411</v>
      </c>
      <c r="L85" s="6"/>
      <c r="M85" s="6">
        <f t="shared" si="12"/>
        <v>835</v>
      </c>
    </row>
    <row r="86" spans="3:13" ht="12.75">
      <c r="C86" s="7">
        <v>22</v>
      </c>
      <c r="E86" s="7">
        <f t="shared" si="13"/>
        <v>14</v>
      </c>
      <c r="G86" s="6">
        <v>11631</v>
      </c>
      <c r="H86" s="6">
        <f t="shared" si="9"/>
        <v>7175</v>
      </c>
      <c r="I86" s="6">
        <f t="shared" si="10"/>
        <v>3535</v>
      </c>
      <c r="J86" s="6">
        <f t="shared" si="11"/>
        <v>689</v>
      </c>
      <c r="L86" s="6"/>
      <c r="M86" s="6">
        <f t="shared" si="12"/>
        <v>232</v>
      </c>
    </row>
    <row r="87" spans="3:13" ht="12.75">
      <c r="C87" s="7">
        <v>23</v>
      </c>
      <c r="E87" s="7">
        <f t="shared" si="13"/>
        <v>7</v>
      </c>
      <c r="G87" s="6">
        <v>11392</v>
      </c>
      <c r="H87" s="6">
        <f t="shared" si="9"/>
        <v>6745</v>
      </c>
      <c r="I87" s="6">
        <f t="shared" si="10"/>
        <v>3438</v>
      </c>
      <c r="J87" s="6">
        <f t="shared" si="11"/>
        <v>915</v>
      </c>
      <c r="L87" s="6"/>
      <c r="M87" s="6">
        <f t="shared" si="12"/>
        <v>294</v>
      </c>
    </row>
    <row r="88" spans="3:13" ht="12.75">
      <c r="C88" s="7">
        <v>24</v>
      </c>
      <c r="E88" s="7">
        <f t="shared" si="13"/>
        <v>34</v>
      </c>
      <c r="G88" s="6">
        <v>101138</v>
      </c>
      <c r="H88" s="6">
        <f t="shared" si="9"/>
        <v>65456</v>
      </c>
      <c r="I88" s="6">
        <f t="shared" si="10"/>
        <v>31040</v>
      </c>
      <c r="J88" s="6">
        <f t="shared" si="11"/>
        <v>3442</v>
      </c>
      <c r="L88" s="6"/>
      <c r="M88" s="6">
        <f t="shared" si="12"/>
        <v>1199</v>
      </c>
    </row>
    <row r="89" spans="3:13" ht="12.75">
      <c r="C89" s="7">
        <v>25</v>
      </c>
      <c r="E89" s="7">
        <f t="shared" si="13"/>
        <v>48</v>
      </c>
      <c r="G89" s="6">
        <v>208199</v>
      </c>
      <c r="H89" s="6">
        <f t="shared" si="9"/>
        <v>136584</v>
      </c>
      <c r="I89" s="6">
        <f t="shared" si="10"/>
        <v>64073</v>
      </c>
      <c r="J89" s="6">
        <f t="shared" si="11"/>
        <v>5548</v>
      </c>
      <c r="L89" s="6"/>
      <c r="M89" s="6">
        <f t="shared" si="12"/>
        <v>1994</v>
      </c>
    </row>
    <row r="90" spans="3:13" ht="12.75">
      <c r="C90" s="7">
        <v>26</v>
      </c>
      <c r="E90" s="7">
        <f t="shared" si="13"/>
        <v>61</v>
      </c>
      <c r="G90" s="6">
        <v>247860</v>
      </c>
      <c r="H90" s="6">
        <f t="shared" si="9"/>
        <v>164997</v>
      </c>
      <c r="I90" s="6">
        <f t="shared" si="10"/>
        <v>77029</v>
      </c>
      <c r="J90" s="6">
        <f t="shared" si="11"/>
        <v>5834</v>
      </c>
      <c r="L90" s="6"/>
      <c r="M90" s="6">
        <f t="shared" si="12"/>
        <v>0</v>
      </c>
    </row>
    <row r="91" spans="3:13" ht="12.75">
      <c r="C91" s="7">
        <v>27</v>
      </c>
      <c r="E91" s="7">
        <f t="shared" si="13"/>
        <v>49</v>
      </c>
      <c r="G91" s="6">
        <v>227109</v>
      </c>
      <c r="H91" s="6">
        <f t="shared" si="9"/>
        <v>149353</v>
      </c>
      <c r="I91" s="6">
        <f t="shared" si="10"/>
        <v>69916</v>
      </c>
      <c r="J91" s="6">
        <f t="shared" si="11"/>
        <v>5762</v>
      </c>
      <c r="M91" s="6">
        <f t="shared" si="12"/>
        <v>2077</v>
      </c>
    </row>
    <row r="92" spans="3:13" ht="12.75">
      <c r="C92" s="7">
        <v>28</v>
      </c>
      <c r="E92" s="7">
        <f t="shared" si="13"/>
        <v>37</v>
      </c>
      <c r="G92" s="6">
        <v>138059</v>
      </c>
      <c r="H92" s="6">
        <f t="shared" si="9"/>
        <v>89909</v>
      </c>
      <c r="I92" s="6">
        <f t="shared" si="10"/>
        <v>42420</v>
      </c>
      <c r="J92" s="6">
        <f t="shared" si="11"/>
        <v>4254</v>
      </c>
      <c r="M92" s="6">
        <f t="shared" si="12"/>
        <v>1476</v>
      </c>
    </row>
    <row r="93" spans="7:13" ht="12.75">
      <c r="G93" s="6"/>
      <c r="H93" s="6"/>
      <c r="I93" s="6"/>
      <c r="J93" s="6"/>
      <c r="M93" s="6"/>
    </row>
    <row r="94" spans="7:13" ht="12.75">
      <c r="G94" s="6"/>
      <c r="H94" s="6"/>
      <c r="I94" s="6"/>
      <c r="J94" s="6"/>
      <c r="M94" s="6"/>
    </row>
    <row r="95" spans="7:13" ht="12.75">
      <c r="G95" s="6"/>
      <c r="M95" s="6"/>
    </row>
    <row r="96" spans="3:14" ht="12.75">
      <c r="C96" s="13" t="s">
        <v>0</v>
      </c>
      <c r="E96" s="6">
        <f>SUM(E65:E95)</f>
        <v>942</v>
      </c>
      <c r="F96" s="6"/>
      <c r="G96" s="6">
        <f>SUM(G65:G95)</f>
        <v>3131962</v>
      </c>
      <c r="H96" s="6">
        <f>SUM(H65:H95)</f>
        <v>2043129</v>
      </c>
      <c r="I96" s="6">
        <f>SUM(I65:I95)</f>
        <v>963790</v>
      </c>
      <c r="J96" s="6">
        <f>SUM(J65:J95)</f>
        <v>95741</v>
      </c>
      <c r="M96" s="6">
        <f>SUM(M65:M95)</f>
        <v>29302</v>
      </c>
      <c r="N96" s="6" t="s">
        <v>2</v>
      </c>
    </row>
    <row r="97" ht="12.75">
      <c r="H97" s="6" t="s">
        <v>2</v>
      </c>
    </row>
    <row r="98" spans="8:14" ht="12.75">
      <c r="H98" s="6" t="s">
        <v>2</v>
      </c>
      <c r="L98" s="6" t="s">
        <v>2</v>
      </c>
      <c r="N98" s="6"/>
    </row>
    <row r="99" spans="5:13" ht="12.75">
      <c r="E99" s="7" t="s">
        <v>2</v>
      </c>
      <c r="H99" s="7" t="s">
        <v>2</v>
      </c>
      <c r="M99" s="6" t="s">
        <v>2</v>
      </c>
    </row>
    <row r="106" ht="12.75">
      <c r="N106" s="7" t="s">
        <v>2</v>
      </c>
    </row>
  </sheetData>
  <sheetProtection/>
  <printOptions horizontalCentered="1"/>
  <pageMargins left="0.75" right="0.75" top="1" bottom="1" header="0.5" footer="0.5"/>
  <pageSetup fitToHeight="2" fitToWidth="1" horizontalDpi="300" verticalDpi="300" orientation="landscape" scale="64" r:id="rId1"/>
  <headerFooter alignWithMargins="0">
    <oddHeader>&amp;CLOUISVILLE GAS AND ELECTRIC COMPANY
Allocation of Underground Storage Investment
Based on Design Winter
(February)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LGE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Graves Garcia</dc:creator>
  <cp:keywords/>
  <dc:description/>
  <cp:lastModifiedBy>Griffin, Amber</cp:lastModifiedBy>
  <cp:lastPrinted>2020-09-10T16:51:13Z</cp:lastPrinted>
  <dcterms:created xsi:type="dcterms:W3CDTF">1999-03-05T21:39:19Z</dcterms:created>
  <dcterms:modified xsi:type="dcterms:W3CDTF">2020-12-02T16:18:31Z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mpa">
    <vt:lpwstr>;#LGE;#</vt:lpwstr>
  </property>
  <property fmtid="{D5CDD505-2E9C-101B-9397-08002B2CF9AE}" pid="4" name="Filed Documen">
    <vt:lpwstr/>
  </property>
  <property fmtid="{D5CDD505-2E9C-101B-9397-08002B2CF9AE}" pid="5" name="Ye">
    <vt:lpwstr>2020</vt:lpwstr>
  </property>
  <property fmtid="{D5CDD505-2E9C-101B-9397-08002B2CF9AE}" pid="6" name="Witness Testimo">
    <vt:lpwstr/>
  </property>
  <property fmtid="{D5CDD505-2E9C-101B-9397-08002B2CF9AE}" pid="7" name="Rou">
    <vt:lpwstr>DR01 Attachments</vt:lpwstr>
  </property>
  <property fmtid="{D5CDD505-2E9C-101B-9397-08002B2CF9AE}" pid="8" name="Departme">
    <vt:lpwstr/>
  </property>
  <property fmtid="{D5CDD505-2E9C-101B-9397-08002B2CF9AE}" pid="9" name="FormDa">
    <vt:lpwstr>&lt;?xml version="1.0" encoding="utf-8"?&gt;&lt;FormVariables&gt;&lt;Version /&gt;&lt;/FormVariables&gt;</vt:lpwstr>
  </property>
  <property fmtid="{D5CDD505-2E9C-101B-9397-08002B2CF9AE}" pid="10" name="Intervemp">
    <vt:lpwstr>KY Public Service Commission - PSC</vt:lpwstr>
  </property>
  <property fmtid="{D5CDD505-2E9C-101B-9397-08002B2CF9AE}" pid="11" name="Document Ty">
    <vt:lpwstr>Data Requests</vt:lpwstr>
  </property>
  <property fmtid="{D5CDD505-2E9C-101B-9397-08002B2CF9AE}" pid="12" name="Filing Requireme">
    <vt:lpwstr/>
  </property>
  <property fmtid="{D5CDD505-2E9C-101B-9397-08002B2CF9AE}" pid="13" name="Data Request Question N">
    <vt:lpwstr>056</vt:lpwstr>
  </property>
  <property fmtid="{D5CDD505-2E9C-101B-9397-08002B2CF9AE}" pid="14" name="Tariff Dev Doc Ty">
    <vt:lpwstr/>
  </property>
</Properties>
</file>