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2020 Rate Case\PSC\LGE\"/>
    </mc:Choice>
  </mc:AlternateContent>
  <xr:revisionPtr revIDLastSave="0" documentId="8_{D8D7377F-D046-4F28-B68D-9124E68E156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2 - LG&amp;E - Sched E1" sheetId="5" r:id="rId1"/>
    <sheet name="3 - LG&amp;E - Sched 1 LEC" sheetId="2" state="hidden" r:id="rId2"/>
    <sheet name="22 -  LG&amp;E - Sched E2" sheetId="4" r:id="rId3"/>
  </sheets>
  <definedNames>
    <definedName name="_xlnm.Print_Area" localSheetId="2">'22 -  LG&amp;E - Sched E2'!$A$1:$L$39</definedName>
    <definedName name="_xlnm.Print_Area" localSheetId="0">'22 - LG&amp;E - Sched E1'!$A$1:$N$28</definedName>
    <definedName name="_xlnm.Print_Area" localSheetId="1">'3 - LG&amp;E - Sched 1 LEC'!$A$1:$P$41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4" l="1"/>
  <c r="H27" i="4"/>
  <c r="H26" i="4"/>
  <c r="H24" i="4"/>
  <c r="H23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A2" i="4" l="1"/>
  <c r="G23" i="5"/>
  <c r="H21" i="5" s="1"/>
  <c r="E23" i="5"/>
  <c r="F21" i="5" s="1"/>
  <c r="C23" i="5"/>
  <c r="D22" i="5"/>
  <c r="D21" i="5"/>
  <c r="D20" i="5"/>
  <c r="D18" i="5"/>
  <c r="M17" i="5"/>
  <c r="K17" i="5"/>
  <c r="K23" i="5" s="1"/>
  <c r="I17" i="5"/>
  <c r="I23" i="5" s="1"/>
  <c r="J22" i="5" s="1"/>
  <c r="F17" i="5"/>
  <c r="D17" i="5"/>
  <c r="H17" i="5" l="1"/>
  <c r="D19" i="5"/>
  <c r="D23" i="5" s="1"/>
  <c r="H20" i="5"/>
  <c r="H22" i="5"/>
  <c r="J17" i="5"/>
  <c r="H18" i="5"/>
  <c r="M23" i="5"/>
  <c r="N21" i="5" s="1"/>
  <c r="L22" i="5"/>
  <c r="L20" i="5"/>
  <c r="L21" i="5"/>
  <c r="L18" i="5"/>
  <c r="L17" i="5"/>
  <c r="F18" i="5"/>
  <c r="F19" i="5" s="1"/>
  <c r="F20" i="5"/>
  <c r="J21" i="5"/>
  <c r="F22" i="5"/>
  <c r="N22" i="5"/>
  <c r="J18" i="5"/>
  <c r="J20" i="5"/>
  <c r="N18" i="5" l="1"/>
  <c r="H19" i="5"/>
  <c r="H23" i="5" s="1"/>
  <c r="J19" i="5"/>
  <c r="J23" i="5" s="1"/>
  <c r="N20" i="5"/>
  <c r="L19" i="5"/>
  <c r="N17" i="5"/>
  <c r="F23" i="5"/>
  <c r="L23" i="5"/>
  <c r="N19" i="5" l="1"/>
  <c r="N23" i="5" s="1"/>
  <c r="L19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C19" i="4" l="1"/>
  <c r="L31" i="4"/>
  <c r="L30" i="4"/>
  <c r="L20" i="4"/>
  <c r="C20" i="4" l="1"/>
  <c r="C31" i="4"/>
  <c r="L35" i="4" s="1"/>
  <c r="C30" i="4"/>
  <c r="L29" i="4"/>
  <c r="C29" i="4" s="1"/>
  <c r="J35" i="4" l="1"/>
  <c r="I35" i="4"/>
  <c r="H35" i="4"/>
  <c r="K35" i="4"/>
  <c r="D35" i="4"/>
  <c r="L27" i="4"/>
  <c r="C27" i="4" s="1"/>
  <c r="L25" i="4"/>
  <c r="C25" i="4" s="1"/>
  <c r="L24" i="4"/>
  <c r="C24" i="4" s="1"/>
  <c r="I32" i="4"/>
  <c r="I33" i="4" s="1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K19" i="2"/>
  <c r="C25" i="2"/>
  <c r="D24" i="2" s="1"/>
  <c r="G19" i="2"/>
  <c r="I32" i="2"/>
  <c r="I38" i="2" s="1"/>
  <c r="J35" i="2" s="1"/>
  <c r="C32" i="2"/>
  <c r="C38" i="2" s="1"/>
  <c r="M25" i="2"/>
  <c r="N22" i="2" s="1"/>
  <c r="M38" i="2"/>
  <c r="K38" i="2"/>
  <c r="L34" i="2" s="1"/>
  <c r="G32" i="2"/>
  <c r="G38" i="2" s="1"/>
  <c r="E32" i="2"/>
  <c r="N23" i="2"/>
  <c r="I19" i="2"/>
  <c r="I21" i="2"/>
  <c r="E25" i="2"/>
  <c r="F22" i="2" s="1"/>
  <c r="L22" i="4" l="1"/>
  <c r="C22" i="4" s="1"/>
  <c r="L26" i="4"/>
  <c r="C26" i="4" s="1"/>
  <c r="H32" i="4"/>
  <c r="H33" i="4" s="1"/>
  <c r="L23" i="4"/>
  <c r="C23" i="4" s="1"/>
  <c r="D32" i="2"/>
  <c r="D37" i="2"/>
  <c r="F24" i="2"/>
  <c r="L37" i="2"/>
  <c r="L32" i="2"/>
  <c r="D32" i="4"/>
  <c r="J32" i="4"/>
  <c r="K32" i="4"/>
  <c r="K33" i="4" s="1"/>
  <c r="F19" i="2"/>
  <c r="N21" i="2"/>
  <c r="J36" i="2"/>
  <c r="I25" i="2"/>
  <c r="J20" i="2" s="1"/>
  <c r="N19" i="2"/>
  <c r="L35" i="2"/>
  <c r="L36" i="2"/>
  <c r="J34" i="2"/>
  <c r="F21" i="2"/>
  <c r="L33" i="2"/>
  <c r="N24" i="2"/>
  <c r="J32" i="2"/>
  <c r="H35" i="2"/>
  <c r="H37" i="2"/>
  <c r="H36" i="2"/>
  <c r="H34" i="2"/>
  <c r="E38" i="2"/>
  <c r="F32" i="2" s="1"/>
  <c r="N34" i="2"/>
  <c r="N32" i="2"/>
  <c r="N35" i="2"/>
  <c r="H32" i="2"/>
  <c r="N33" i="2"/>
  <c r="H33" i="2"/>
  <c r="G25" i="2"/>
  <c r="H19" i="2" s="1"/>
  <c r="N36" i="2"/>
  <c r="N37" i="2"/>
  <c r="D36" i="2"/>
  <c r="D33" i="2"/>
  <c r="D34" i="2"/>
  <c r="D35" i="2"/>
  <c r="D19" i="2"/>
  <c r="D21" i="2"/>
  <c r="D22" i="2"/>
  <c r="D20" i="2"/>
  <c r="D23" i="2"/>
  <c r="L21" i="4"/>
  <c r="C21" i="4" s="1"/>
  <c r="L28" i="4"/>
  <c r="C28" i="4" s="1"/>
  <c r="F23" i="2"/>
  <c r="J33" i="2"/>
  <c r="J37" i="2"/>
  <c r="F20" i="2"/>
  <c r="N20" i="2"/>
  <c r="K25" i="2"/>
  <c r="J38" i="2" l="1"/>
  <c r="C32" i="4"/>
  <c r="J21" i="2"/>
  <c r="J22" i="2"/>
  <c r="L32" i="4"/>
  <c r="L33" i="4" s="1"/>
  <c r="J33" i="4"/>
  <c r="D33" i="4"/>
  <c r="L38" i="2"/>
  <c r="J24" i="2"/>
  <c r="J19" i="2"/>
  <c r="N25" i="2"/>
  <c r="F25" i="2"/>
  <c r="D38" i="2"/>
  <c r="J23" i="2"/>
  <c r="N38" i="2"/>
  <c r="H38" i="2"/>
  <c r="L21" i="2"/>
  <c r="L20" i="2"/>
  <c r="L24" i="2"/>
  <c r="L22" i="2"/>
  <c r="L23" i="2"/>
  <c r="L19" i="2"/>
  <c r="D25" i="2"/>
  <c r="H20" i="2"/>
  <c r="H23" i="2"/>
  <c r="H21" i="2"/>
  <c r="H24" i="2"/>
  <c r="H22" i="2"/>
  <c r="F33" i="2"/>
  <c r="F37" i="2"/>
  <c r="F34" i="2"/>
  <c r="F36" i="2"/>
  <c r="F35" i="2"/>
  <c r="J25" i="2" l="1"/>
  <c r="C33" i="4"/>
  <c r="I34" i="4" s="1"/>
  <c r="F38" i="2"/>
  <c r="H25" i="2"/>
  <c r="L25" i="2"/>
  <c r="J34" i="4" l="1"/>
  <c r="H34" i="4"/>
  <c r="K34" i="4"/>
  <c r="L34" i="4"/>
  <c r="D34" i="4"/>
</calcChain>
</file>

<file path=xl/sharedStrings.xml><?xml version="1.0" encoding="utf-8"?>
<sst xmlns="http://schemas.openxmlformats.org/spreadsheetml/2006/main" count="127" uniqueCount="69">
  <si>
    <t>Louisville Gas and Electric Company</t>
  </si>
  <si>
    <t>Case No. 2003-00433</t>
  </si>
  <si>
    <t>Question No. 3</t>
  </si>
  <si>
    <t>Responding Witness:  S. Bradford Rives</t>
  </si>
  <si>
    <t>Comparative Capital Structures (Excluding JDIC)</t>
  </si>
  <si>
    <t>For the Periods as Shown</t>
  </si>
  <si>
    <t>"000 Omitted"</t>
  </si>
  <si>
    <t>Schedule 1</t>
  </si>
  <si>
    <t>Line No.</t>
  </si>
  <si>
    <t>Type of Capital</t>
  </si>
  <si>
    <t>Amount</t>
  </si>
  <si>
    <t>Ratio</t>
  </si>
  <si>
    <t>Long-Term Debt</t>
  </si>
  <si>
    <t>Short-Term Debt</t>
  </si>
  <si>
    <t>AR Securitization</t>
  </si>
  <si>
    <t>Preferred Stock</t>
  </si>
  <si>
    <t>Common Equity</t>
  </si>
  <si>
    <t>Other</t>
  </si>
  <si>
    <t>Total Capitalization</t>
  </si>
  <si>
    <t>Latest Available</t>
  </si>
  <si>
    <t>Test Year</t>
  </si>
  <si>
    <t>Quarter 9/30/2003</t>
  </si>
  <si>
    <t>LG&amp;E Energy LLC</t>
  </si>
  <si>
    <t>Minority Interest</t>
  </si>
  <si>
    <t>Calculation of Average Test Year Capital Structure</t>
  </si>
  <si>
    <t xml:space="preserve">Total </t>
  </si>
  <si>
    <t>Long-Term</t>
  </si>
  <si>
    <t>Short-Term</t>
  </si>
  <si>
    <t>Preferred</t>
  </si>
  <si>
    <t>Common</t>
  </si>
  <si>
    <t>Retained</t>
  </si>
  <si>
    <t>Line</t>
  </si>
  <si>
    <t>Total Capital</t>
  </si>
  <si>
    <t>Debt</t>
  </si>
  <si>
    <t>Stock</t>
  </si>
  <si>
    <t>Earnings</t>
  </si>
  <si>
    <t xml:space="preserve">Equity </t>
  </si>
  <si>
    <t>No.</t>
  </si>
  <si>
    <t>Item (a)</t>
  </si>
  <si>
    <t>(b)</t>
  </si>
  <si>
    <t>(d)</t>
  </si>
  <si>
    <t>(h)</t>
  </si>
  <si>
    <t>(i)</t>
  </si>
  <si>
    <t>Total</t>
  </si>
  <si>
    <t>Average Balance</t>
  </si>
  <si>
    <t>Average Capitalization Ratios</t>
  </si>
  <si>
    <t>End-of-period Capitalization Ratios</t>
  </si>
  <si>
    <t>Note: Total of long-term debt includes short-term portion of long-term debt.</t>
  </si>
  <si>
    <t>(f)</t>
  </si>
  <si>
    <t>(c)</t>
  </si>
  <si>
    <t>Responding Witness:  Daniel K. Arbough</t>
  </si>
  <si>
    <t xml:space="preserve">Note: </t>
  </si>
  <si>
    <t>Total long-term debt includes the short-term portion of long-term debt and mandatory redeemable preferred stock.</t>
  </si>
  <si>
    <t>Balance Beginning</t>
  </si>
  <si>
    <r>
      <t>Stock</t>
    </r>
    <r>
      <rPr>
        <vertAlign val="superscript"/>
        <sz val="12"/>
        <rFont val="Times New Roman"/>
        <family val="1"/>
      </rPr>
      <t>1</t>
    </r>
  </si>
  <si>
    <t>(g)</t>
  </si>
  <si>
    <t>Note 1: Common Stock (g) includes Common Stock, Common Stock Expense, Paid in Capital and Other Comprehensive Income.</t>
  </si>
  <si>
    <t>Debt Expense</t>
  </si>
  <si>
    <t>Loss</t>
  </si>
  <si>
    <t>Uamortized</t>
  </si>
  <si>
    <t>Unamortized</t>
  </si>
  <si>
    <t>Comparative Capital Structures</t>
  </si>
  <si>
    <t>Quarter 09/30/2020</t>
  </si>
  <si>
    <t>12 Months Ended December 31, 2019</t>
  </si>
  <si>
    <t>Case No. 2020-00350</t>
  </si>
  <si>
    <t>Question No.22</t>
  </si>
  <si>
    <t>Question No. 22</t>
  </si>
  <si>
    <t>Schedule E2</t>
  </si>
  <si>
    <t>Schedule 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</si>
</sst>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 yyyy"/>
  </numFmts>
  <fonts count="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1" fontId="1" fillId="0" borderId="0" xfId="1" applyNumberFormat="1"/>
    <xf numFmtId="10" fontId="1" fillId="0" borderId="0" xfId="3" applyNumberFormat="1"/>
    <xf numFmtId="164" fontId="1" fillId="0" borderId="0" xfId="1" applyNumberFormat="1"/>
    <xf numFmtId="164" fontId="1" fillId="0" borderId="0" xfId="1" applyNumberFormat="1" applyBorder="1"/>
    <xf numFmtId="41" fontId="1" fillId="0" borderId="2" xfId="1" applyNumberFormat="1" applyBorder="1"/>
    <xf numFmtId="164" fontId="1" fillId="0" borderId="2" xfId="1" applyNumberFormat="1" applyBorder="1"/>
    <xf numFmtId="10" fontId="1" fillId="0" borderId="0" xfId="1" applyNumberFormat="1"/>
    <xf numFmtId="10" fontId="1" fillId="0" borderId="0" xfId="3" applyNumberFormat="1" applyFont="1"/>
    <xf numFmtId="0" fontId="0" fillId="0" borderId="1" xfId="0" applyFill="1" applyBorder="1" applyAlignment="1">
      <alignment horizontal="center"/>
    </xf>
    <xf numFmtId="10" fontId="1" fillId="0" borderId="0" xfId="3" applyNumberFormat="1" applyBorder="1"/>
    <xf numFmtId="164" fontId="1" fillId="0" borderId="0" xfId="1" applyNumberFormat="1" applyFont="1"/>
    <xf numFmtId="164" fontId="0" fillId="0" borderId="0" xfId="0" applyNumberFormat="1"/>
    <xf numFmtId="10" fontId="0" fillId="0" borderId="0" xfId="0" applyNumberFormat="1"/>
    <xf numFmtId="10" fontId="1" fillId="0" borderId="2" xfId="3" applyNumberFormat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/>
    <xf numFmtId="10" fontId="0" fillId="0" borderId="0" xfId="0" applyNumberFormat="1" applyBorder="1"/>
    <xf numFmtId="164" fontId="2" fillId="0" borderId="0" xfId="1" applyNumberFormat="1" applyFont="1" applyFill="1"/>
    <xf numFmtId="0" fontId="2" fillId="0" borderId="0" xfId="0" applyFont="1" applyFill="1"/>
    <xf numFmtId="0" fontId="2" fillId="0" borderId="0" xfId="0" quotePrefix="1" applyFont="1" applyFill="1" applyAlignment="1"/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Alignment="1"/>
    <xf numFmtId="164" fontId="2" fillId="0" borderId="0" xfId="1" applyNumberFormat="1" applyFont="1" applyFill="1" applyAlignment="1"/>
    <xf numFmtId="49" fontId="2" fillId="0" borderId="0" xfId="0" applyNumberFormat="1" applyFont="1" applyFill="1" applyAlignment="1">
      <alignment horizontal="left"/>
    </xf>
    <xf numFmtId="40" fontId="2" fillId="0" borderId="0" xfId="0" applyNumberFormat="1" applyFont="1" applyFill="1"/>
    <xf numFmtId="41" fontId="2" fillId="0" borderId="2" xfId="1" applyNumberFormat="1" applyFont="1" applyFill="1" applyBorder="1"/>
    <xf numFmtId="165" fontId="2" fillId="0" borderId="0" xfId="2" applyNumberFormat="1" applyFont="1" applyFill="1" applyBorder="1"/>
    <xf numFmtId="10" fontId="2" fillId="0" borderId="0" xfId="3" applyNumberFormat="1" applyFont="1" applyFill="1" applyBorder="1"/>
    <xf numFmtId="164" fontId="2" fillId="0" borderId="0" xfId="1" applyNumberFormat="1" applyFont="1" applyFill="1" applyBorder="1"/>
    <xf numFmtId="41" fontId="2" fillId="0" borderId="0" xfId="1" applyNumberFormat="1" applyFont="1" applyFill="1" applyBorder="1"/>
    <xf numFmtId="10" fontId="2" fillId="0" borderId="0" xfId="1" applyNumberFormat="1" applyFont="1" applyFill="1" applyBorder="1"/>
    <xf numFmtId="166" fontId="2" fillId="0" borderId="0" xfId="0" applyNumberFormat="1" applyFont="1" applyFill="1" applyAlignment="1">
      <alignment horizontal="left"/>
    </xf>
    <xf numFmtId="165" fontId="2" fillId="0" borderId="0" xfId="2" applyNumberFormat="1" applyFont="1" applyFill="1"/>
    <xf numFmtId="0" fontId="2" fillId="0" borderId="2" xfId="0" applyFont="1" applyFill="1" applyBorder="1" applyAlignment="1">
      <alignment horizontal="center"/>
    </xf>
    <xf numFmtId="10" fontId="2" fillId="0" borderId="0" xfId="3" applyNumberFormat="1" applyFont="1" applyFill="1"/>
    <xf numFmtId="10" fontId="2" fillId="0" borderId="0" xfId="1" applyNumberFormat="1" applyFont="1" applyFill="1"/>
    <xf numFmtId="49" fontId="2" fillId="0" borderId="1" xfId="0" applyNumberFormat="1" applyFont="1" applyFill="1" applyBorder="1" applyAlignment="1">
      <alignment horizontal="left"/>
    </xf>
    <xf numFmtId="164" fontId="2" fillId="0" borderId="1" xfId="1" applyNumberFormat="1" applyFont="1" applyFill="1" applyBorder="1"/>
    <xf numFmtId="49" fontId="2" fillId="0" borderId="2" xfId="0" applyNumberFormat="1" applyFont="1" applyFill="1" applyBorder="1" applyAlignment="1">
      <alignment horizontal="left"/>
    </xf>
    <xf numFmtId="164" fontId="2" fillId="0" borderId="2" xfId="1" applyNumberFormat="1" applyFont="1" applyFill="1" applyBorder="1"/>
    <xf numFmtId="10" fontId="2" fillId="0" borderId="2" xfId="3" applyNumberFormat="1" applyFont="1" applyFill="1" applyBorder="1"/>
    <xf numFmtId="0" fontId="2" fillId="0" borderId="0" xfId="4" applyFont="1"/>
    <xf numFmtId="0" fontId="2" fillId="0" borderId="0" xfId="4" quotePrefix="1" applyFont="1" applyAlignment="1">
      <alignment horizontal="left"/>
    </xf>
    <xf numFmtId="0" fontId="2" fillId="0" borderId="2" xfId="4" applyFont="1" applyBorder="1" applyAlignment="1">
      <alignment horizontal="center"/>
    </xf>
    <xf numFmtId="0" fontId="2" fillId="0" borderId="0" xfId="4" applyFont="1" applyAlignment="1">
      <alignment horizontal="center"/>
    </xf>
    <xf numFmtId="0" fontId="2" fillId="0" borderId="1" xfId="4" applyFont="1" applyBorder="1" applyAlignment="1">
      <alignment horizontal="center"/>
    </xf>
    <xf numFmtId="0" fontId="2" fillId="0" borderId="0" xfId="4" applyFont="1" applyAlignment="1">
      <alignment horizontal="center" vertical="top"/>
    </xf>
    <xf numFmtId="0" fontId="2" fillId="0" borderId="0" xfId="4" applyFont="1" applyAlignment="1">
      <alignment vertical="top"/>
    </xf>
    <xf numFmtId="164" fontId="2" fillId="0" borderId="0" xfId="1" applyNumberFormat="1" applyFont="1" applyFill="1" applyAlignment="1">
      <alignment vertical="top"/>
    </xf>
    <xf numFmtId="10" fontId="2" fillId="0" borderId="0" xfId="3" applyNumberFormat="1" applyFont="1" applyFill="1" applyAlignment="1">
      <alignment vertical="top"/>
    </xf>
    <xf numFmtId="165" fontId="2" fillId="0" borderId="0" xfId="2" applyNumberFormat="1" applyFont="1" applyFill="1" applyBorder="1" applyAlignment="1">
      <alignment vertical="top"/>
    </xf>
    <xf numFmtId="10" fontId="2" fillId="0" borderId="0" xfId="3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0" fontId="2" fillId="0" borderId="0" xfId="4" applyFont="1" applyAlignment="1">
      <alignment horizontal="left"/>
    </xf>
    <xf numFmtId="10" fontId="2" fillId="0" borderId="0" xfId="4" applyNumberFormat="1" applyFont="1"/>
    <xf numFmtId="0" fontId="2" fillId="0" borderId="0" xfId="4" quotePrefix="1" applyFont="1" applyAlignment="1"/>
    <xf numFmtId="0" fontId="2" fillId="0" borderId="0" xfId="4" applyFont="1" applyAlignment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4" quotePrefix="1" applyFont="1" applyAlignment="1">
      <alignment horizontal="right"/>
    </xf>
    <xf numFmtId="37" fontId="2" fillId="0" borderId="0" xfId="2" applyNumberFormat="1" applyFont="1" applyFill="1"/>
    <xf numFmtId="164" fontId="2" fillId="0" borderId="1" xfId="1" applyNumberFormat="1" applyFont="1" applyFill="1" applyBorder="1" applyAlignment="1"/>
    <xf numFmtId="0" fontId="2" fillId="0" borderId="0" xfId="4" applyFont="1" applyAlignment="1">
      <alignment horizontal="center"/>
    </xf>
    <xf numFmtId="0" fontId="2" fillId="0" borderId="2" xfId="4" applyFont="1" applyBorder="1" applyAlignment="1">
      <alignment horizontal="center"/>
    </xf>
    <xf numFmtId="0" fontId="2" fillId="0" borderId="0" xfId="4" applyFont="1" applyAlignment="1">
      <alignment horizontal="center" textRotation="180"/>
    </xf>
    <xf numFmtId="0" fontId="2" fillId="0" borderId="0" xfId="4" applyFont="1" applyAlignment="1">
      <alignment horizontal="right" textRotation="180"/>
    </xf>
    <xf numFmtId="0" fontId="2" fillId="0" borderId="0" xfId="4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 textRotation="180"/>
    </xf>
    <xf numFmtId="0" fontId="2" fillId="0" borderId="0" xfId="0" applyFont="1" applyFill="1" applyAlignment="1">
      <alignment horizontal="right" textRotation="180"/>
    </xf>
  </cellXfs>
  <cellStyles count="5">
    <cellStyle name="Comma" xfId="1" builtinId="3"/>
    <cellStyle name="Currency" xfId="2" builtinId="4"/>
    <cellStyle name="Normal" xfId="0" builtinId="0"/>
    <cellStyle name="Normal 2" xfId="4" xr:uid="{2083D09D-7F7B-4F08-BB1E-2B3916545F0B}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5E69C-6B4E-4CEA-879E-5B473C321EEB}">
  <sheetPr>
    <pageSetUpPr fitToPage="1"/>
  </sheetPr>
  <dimension ref="A1:S48"/>
  <sheetViews>
    <sheetView showGridLines="0" tabSelected="1" zoomScaleNormal="100" workbookViewId="0">
      <selection activeCell="C27" sqref="C27"/>
    </sheetView>
  </sheetViews>
  <sheetFormatPr defaultColWidth="9.08984375" defaultRowHeight="15.5" x14ac:dyDescent="0.35"/>
  <cols>
    <col min="1" max="1" width="7.90625" style="46" customWidth="1"/>
    <col min="2" max="2" width="20.08984375" style="46" customWidth="1"/>
    <col min="3" max="3" width="12.6328125" style="46" bestFit="1" customWidth="1"/>
    <col min="4" max="4" width="9.36328125" style="46" bestFit="1" customWidth="1"/>
    <col min="5" max="5" width="12.6328125" style="46" bestFit="1" customWidth="1"/>
    <col min="6" max="6" width="9.36328125" style="46" bestFit="1" customWidth="1"/>
    <col min="7" max="7" width="12.6328125" style="46" bestFit="1" customWidth="1"/>
    <col min="8" max="8" width="9.6328125" style="46" bestFit="1" customWidth="1"/>
    <col min="9" max="9" width="12.6328125" style="46" bestFit="1" customWidth="1"/>
    <col min="10" max="10" width="9.36328125" style="46" bestFit="1" customWidth="1"/>
    <col min="11" max="11" width="12.6328125" style="46" bestFit="1" customWidth="1"/>
    <col min="12" max="12" width="9.36328125" style="46" bestFit="1" customWidth="1"/>
    <col min="13" max="13" width="16.90625" style="46" bestFit="1" customWidth="1"/>
    <col min="14" max="14" width="9.36328125" style="46" bestFit="1" customWidth="1"/>
    <col min="15" max="15" width="11.36328125" style="46" customWidth="1"/>
    <col min="16" max="16" width="9.6328125" style="46" customWidth="1"/>
    <col min="17" max="19" width="2.6328125" style="46" customWidth="1"/>
    <col min="20" max="16384" width="9.08984375" style="46"/>
  </cols>
  <sheetData>
    <row r="1" spans="1:18" x14ac:dyDescent="0.3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60"/>
      <c r="P1" s="60"/>
      <c r="Q1" s="61"/>
      <c r="R1" s="61"/>
    </row>
    <row r="2" spans="1:18" x14ac:dyDescent="0.35">
      <c r="A2" s="71" t="s">
        <v>64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60"/>
      <c r="P2" s="60"/>
      <c r="Q2" s="60"/>
      <c r="R2" s="60"/>
    </row>
    <row r="4" spans="1:18" x14ac:dyDescent="0.35">
      <c r="A4" s="71" t="s">
        <v>65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60"/>
      <c r="P4" s="60"/>
      <c r="Q4" s="60"/>
      <c r="R4" s="60"/>
    </row>
    <row r="6" spans="1:18" x14ac:dyDescent="0.35">
      <c r="A6" s="67" t="s">
        <v>50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1"/>
      <c r="P6" s="61"/>
      <c r="Q6" s="61"/>
      <c r="R6" s="61"/>
    </row>
    <row r="8" spans="1:18" x14ac:dyDescent="0.35">
      <c r="A8" s="67" t="s">
        <v>61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1"/>
      <c r="P8" s="61"/>
      <c r="Q8" s="61"/>
      <c r="R8" s="61"/>
    </row>
    <row r="9" spans="1:18" x14ac:dyDescent="0.35">
      <c r="A9" s="67" t="s">
        <v>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1"/>
      <c r="P9" s="61"/>
      <c r="Q9" s="61"/>
      <c r="R9" s="61"/>
    </row>
    <row r="10" spans="1:18" x14ac:dyDescent="0.35">
      <c r="A10" s="67" t="s">
        <v>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1"/>
      <c r="P10" s="61"/>
      <c r="Q10" s="61"/>
      <c r="R10" s="61"/>
    </row>
    <row r="11" spans="1:18" x14ac:dyDescent="0.35">
      <c r="N11" s="64" t="s">
        <v>68</v>
      </c>
    </row>
    <row r="12" spans="1:18" x14ac:dyDescent="0.35">
      <c r="O12" s="47"/>
    </row>
    <row r="14" spans="1:18" x14ac:dyDescent="0.35">
      <c r="A14" s="49"/>
      <c r="C14" s="48">
        <v>2015</v>
      </c>
      <c r="D14" s="48"/>
      <c r="E14" s="68">
        <v>2016</v>
      </c>
      <c r="F14" s="68"/>
      <c r="G14" s="68">
        <v>2017</v>
      </c>
      <c r="H14" s="68"/>
      <c r="I14" s="68">
        <v>2018</v>
      </c>
      <c r="J14" s="68"/>
      <c r="K14" s="68">
        <v>2019</v>
      </c>
      <c r="L14" s="68"/>
      <c r="M14" s="68" t="s">
        <v>62</v>
      </c>
      <c r="N14" s="68"/>
      <c r="O14" s="67"/>
      <c r="P14" s="67"/>
      <c r="Q14" s="67"/>
      <c r="R14" s="67"/>
    </row>
    <row r="15" spans="1:18" x14ac:dyDescent="0.35">
      <c r="A15" s="49" t="s">
        <v>8</v>
      </c>
      <c r="B15" s="49" t="s">
        <v>9</v>
      </c>
      <c r="C15" s="50" t="s">
        <v>10</v>
      </c>
      <c r="D15" s="50" t="s">
        <v>11</v>
      </c>
      <c r="E15" s="50" t="s">
        <v>10</v>
      </c>
      <c r="F15" s="50" t="s">
        <v>11</v>
      </c>
      <c r="G15" s="50" t="s">
        <v>10</v>
      </c>
      <c r="H15" s="50" t="s">
        <v>11</v>
      </c>
      <c r="I15" s="50" t="s">
        <v>10</v>
      </c>
      <c r="J15" s="50" t="s">
        <v>11</v>
      </c>
      <c r="K15" s="50" t="s">
        <v>10</v>
      </c>
      <c r="L15" s="50" t="s">
        <v>11</v>
      </c>
      <c r="M15" s="50" t="s">
        <v>10</v>
      </c>
      <c r="N15" s="50" t="s">
        <v>11</v>
      </c>
      <c r="O15" s="49"/>
      <c r="P15" s="49"/>
      <c r="Q15" s="49"/>
      <c r="R15" s="49"/>
    </row>
    <row r="16" spans="1:18" x14ac:dyDescent="0.35">
      <c r="A16" s="49"/>
    </row>
    <row r="17" spans="1:19" x14ac:dyDescent="0.35">
      <c r="A17" s="49">
        <v>1</v>
      </c>
      <c r="B17" s="46" t="s">
        <v>12</v>
      </c>
      <c r="C17" s="37">
        <v>1621983</v>
      </c>
      <c r="D17" s="39">
        <f>ROUND(C17/C$23,4)</f>
        <v>0.43790000000000001</v>
      </c>
      <c r="E17" s="37">
        <v>1599871</v>
      </c>
      <c r="F17" s="39">
        <f>ROUND(E17/E$23,4)</f>
        <v>0.41499999999999998</v>
      </c>
      <c r="G17" s="37">
        <v>1690490</v>
      </c>
      <c r="H17" s="39">
        <f>ROUND(G17/G$23,4)</f>
        <v>0.41970000000000002</v>
      </c>
      <c r="I17" s="37">
        <f>1820175-13190-14539</f>
        <v>1792446</v>
      </c>
      <c r="J17" s="39">
        <f>ROUND(I17/I$23,4)</f>
        <v>0.41020000000000001</v>
      </c>
      <c r="K17" s="37">
        <f>2019898-17327-13518</f>
        <v>1989053</v>
      </c>
      <c r="L17" s="39">
        <f>ROUND(K17/K$23,4)</f>
        <v>0.43230000000000002</v>
      </c>
      <c r="M17" s="37">
        <f>2020047-15597-13586</f>
        <v>1990864</v>
      </c>
      <c r="N17" s="39">
        <f>ROUND(M17/M$23,4)</f>
        <v>0.42370000000000002</v>
      </c>
      <c r="O17" s="31"/>
      <c r="P17" s="32"/>
      <c r="Q17" s="31"/>
      <c r="R17" s="32"/>
    </row>
    <row r="18" spans="1:19" x14ac:dyDescent="0.35">
      <c r="A18" s="49">
        <v>2</v>
      </c>
      <c r="B18" s="46" t="s">
        <v>13</v>
      </c>
      <c r="C18" s="22">
        <v>141969</v>
      </c>
      <c r="D18" s="39">
        <f>ROUND(C18/C$23,4)</f>
        <v>3.8300000000000001E-2</v>
      </c>
      <c r="E18" s="22">
        <v>168714</v>
      </c>
      <c r="F18" s="39">
        <f>ROUND(E18/E$23,4)</f>
        <v>4.3799999999999999E-2</v>
      </c>
      <c r="G18" s="22">
        <v>198888</v>
      </c>
      <c r="H18" s="39">
        <f>ROUND(G18/G$23,4)</f>
        <v>4.9399999999999999E-2</v>
      </c>
      <c r="I18" s="22">
        <v>279133</v>
      </c>
      <c r="J18" s="39">
        <f>ROUND(I18/I$23,4)</f>
        <v>6.3899999999999998E-2</v>
      </c>
      <c r="K18" s="22">
        <v>238410</v>
      </c>
      <c r="L18" s="39">
        <f>ROUND(K18/K$23,4)</f>
        <v>5.1799999999999999E-2</v>
      </c>
      <c r="M18" s="22">
        <v>205995</v>
      </c>
      <c r="N18" s="39">
        <f>ROUND(M18/M$23,4)</f>
        <v>4.3799999999999999E-2</v>
      </c>
      <c r="O18" s="31"/>
      <c r="P18" s="32"/>
      <c r="Q18" s="33"/>
      <c r="R18" s="32"/>
    </row>
    <row r="19" spans="1:19" s="52" customFormat="1" ht="32.15" customHeight="1" x14ac:dyDescent="0.25">
      <c r="A19" s="51"/>
      <c r="C19" s="53"/>
      <c r="D19" s="54">
        <f>SUM(D17:D18)</f>
        <v>0.47620000000000001</v>
      </c>
      <c r="E19" s="53"/>
      <c r="F19" s="54">
        <f>SUM(F17:F18)</f>
        <v>0.45879999999999999</v>
      </c>
      <c r="G19" s="53"/>
      <c r="H19" s="54">
        <f>SUM(H17:H18)</f>
        <v>0.46910000000000002</v>
      </c>
      <c r="I19" s="53"/>
      <c r="J19" s="54">
        <f>SUM(J17:J18)</f>
        <v>0.47410000000000002</v>
      </c>
      <c r="K19" s="53"/>
      <c r="L19" s="54">
        <f>SUM(L17:L18)</f>
        <v>0.48410000000000003</v>
      </c>
      <c r="M19" s="53"/>
      <c r="N19" s="54">
        <f>SUM(N17:N18)</f>
        <v>0.46750000000000003</v>
      </c>
      <c r="O19" s="55"/>
      <c r="P19" s="56"/>
      <c r="Q19" s="57"/>
      <c r="R19" s="56"/>
    </row>
    <row r="20" spans="1:19" x14ac:dyDescent="0.35">
      <c r="A20" s="49">
        <v>3</v>
      </c>
      <c r="B20" s="46" t="s">
        <v>15</v>
      </c>
      <c r="C20" s="22">
        <v>0</v>
      </c>
      <c r="D20" s="39">
        <f>ROUND(C20/C$23,4)</f>
        <v>0</v>
      </c>
      <c r="E20" s="22">
        <v>0</v>
      </c>
      <c r="F20" s="39">
        <f>ROUND(E20/E$23,4)</f>
        <v>0</v>
      </c>
      <c r="G20" s="22">
        <v>0</v>
      </c>
      <c r="H20" s="39">
        <f>ROUND(G20/G$23,4)</f>
        <v>0</v>
      </c>
      <c r="I20" s="22"/>
      <c r="J20" s="39">
        <f>ROUND(I20/I$23,4)</f>
        <v>0</v>
      </c>
      <c r="K20" s="22"/>
      <c r="L20" s="39">
        <f>ROUND(K20/K$23,4)</f>
        <v>0</v>
      </c>
      <c r="M20" s="22"/>
      <c r="N20" s="39">
        <f>ROUND(M20/M$23,4)</f>
        <v>0</v>
      </c>
      <c r="O20" s="31"/>
      <c r="P20" s="32"/>
      <c r="Q20" s="33"/>
      <c r="R20" s="32"/>
    </row>
    <row r="21" spans="1:19" x14ac:dyDescent="0.35">
      <c r="A21" s="49">
        <v>4</v>
      </c>
      <c r="B21" s="46" t="s">
        <v>16</v>
      </c>
      <c r="C21" s="22">
        <v>1940270</v>
      </c>
      <c r="D21" s="39">
        <f>ROUNDDOWN(C21/C$23,4)+0.0001</f>
        <v>0.52380000000000004</v>
      </c>
      <c r="E21" s="22">
        <v>2086500</v>
      </c>
      <c r="F21" s="39">
        <f>ROUNDDOWN(E21/E$23,4)</f>
        <v>0.54120000000000001</v>
      </c>
      <c r="G21" s="22">
        <v>2138596</v>
      </c>
      <c r="H21" s="39">
        <f>ROUND(G21/G$23,4)</f>
        <v>0.53090000000000004</v>
      </c>
      <c r="I21" s="22">
        <v>2298010</v>
      </c>
      <c r="J21" s="39">
        <f>ROUNDDOWN(I21/I$23,4)</f>
        <v>0.52590000000000003</v>
      </c>
      <c r="K21" s="22">
        <v>2373814</v>
      </c>
      <c r="L21" s="39">
        <f>ROUND(K21/K$23,4)</f>
        <v>0.51590000000000003</v>
      </c>
      <c r="M21" s="22">
        <v>2501968</v>
      </c>
      <c r="N21" s="39">
        <f>ROUND(M21/M$23,4)</f>
        <v>0.53249999999999997</v>
      </c>
      <c r="O21" s="31"/>
      <c r="P21" s="32"/>
      <c r="Q21" s="33"/>
      <c r="R21" s="32"/>
    </row>
    <row r="22" spans="1:19" x14ac:dyDescent="0.35">
      <c r="A22" s="49">
        <v>5</v>
      </c>
      <c r="B22" s="46" t="s">
        <v>17</v>
      </c>
      <c r="C22" s="30">
        <v>0</v>
      </c>
      <c r="D22" s="30">
        <f>C22/C23</f>
        <v>0</v>
      </c>
      <c r="E22" s="30"/>
      <c r="F22" s="30">
        <f>E22/E23</f>
        <v>0</v>
      </c>
      <c r="G22" s="30">
        <v>0</v>
      </c>
      <c r="H22" s="30">
        <f>G22/G23</f>
        <v>0</v>
      </c>
      <c r="I22" s="30"/>
      <c r="J22" s="30">
        <f>I22/I23</f>
        <v>0</v>
      </c>
      <c r="K22" s="30">
        <v>0</v>
      </c>
      <c r="L22" s="30">
        <f>K22/K23</f>
        <v>0</v>
      </c>
      <c r="M22" s="30"/>
      <c r="N22" s="30">
        <f>M22/M23</f>
        <v>0</v>
      </c>
      <c r="O22" s="34"/>
      <c r="P22" s="34"/>
      <c r="Q22" s="34"/>
      <c r="R22" s="34"/>
    </row>
    <row r="23" spans="1:19" x14ac:dyDescent="0.35">
      <c r="A23" s="49">
        <v>6</v>
      </c>
      <c r="B23" s="46" t="s">
        <v>18</v>
      </c>
      <c r="C23" s="37">
        <f t="shared" ref="C23:G23" si="0">SUM(C17:C22)</f>
        <v>3704222</v>
      </c>
      <c r="D23" s="40">
        <f>+D19+D21</f>
        <v>1</v>
      </c>
      <c r="E23" s="37">
        <f t="shared" si="0"/>
        <v>3855085</v>
      </c>
      <c r="F23" s="40">
        <f>+F19+F21</f>
        <v>1</v>
      </c>
      <c r="G23" s="37">
        <f t="shared" si="0"/>
        <v>4027974</v>
      </c>
      <c r="H23" s="40">
        <f>+H19+H21</f>
        <v>1</v>
      </c>
      <c r="I23" s="37">
        <f t="shared" ref="I23:M23" si="1">SUM(I17:I22)</f>
        <v>4369589</v>
      </c>
      <c r="J23" s="40">
        <f>+J19+J21</f>
        <v>1</v>
      </c>
      <c r="K23" s="37">
        <f t="shared" si="1"/>
        <v>4601277</v>
      </c>
      <c r="L23" s="40">
        <f>+L19+L21</f>
        <v>1</v>
      </c>
      <c r="M23" s="37">
        <f t="shared" si="1"/>
        <v>4698827</v>
      </c>
      <c r="N23" s="40">
        <f>+N19+N21</f>
        <v>1</v>
      </c>
      <c r="O23" s="31"/>
      <c r="P23" s="35"/>
      <c r="Q23" s="31"/>
      <c r="R23" s="35"/>
    </row>
    <row r="24" spans="1:19" x14ac:dyDescent="0.35">
      <c r="A24" s="49"/>
      <c r="S24" s="69"/>
    </row>
    <row r="25" spans="1:19" x14ac:dyDescent="0.35">
      <c r="A25" s="49"/>
      <c r="S25" s="69"/>
    </row>
    <row r="26" spans="1:19" ht="15.75" customHeight="1" x14ac:dyDescent="0.35">
      <c r="A26" s="58" t="s">
        <v>51</v>
      </c>
      <c r="B26" s="46" t="s">
        <v>52</v>
      </c>
      <c r="N26" s="59"/>
      <c r="S26" s="69"/>
    </row>
    <row r="27" spans="1:19" ht="15.75" customHeight="1" x14ac:dyDescent="0.35">
      <c r="N27" s="59"/>
      <c r="Q27" s="70"/>
      <c r="R27" s="70"/>
      <c r="S27" s="69"/>
    </row>
    <row r="28" spans="1:19" x14ac:dyDescent="0.35">
      <c r="C28" s="49"/>
      <c r="D28" s="49"/>
      <c r="E28" s="49"/>
      <c r="F28" s="49"/>
      <c r="G28" s="49"/>
      <c r="H28" s="49"/>
      <c r="I28" s="67"/>
      <c r="J28" s="67"/>
      <c r="K28" s="67"/>
      <c r="L28" s="67"/>
      <c r="Q28" s="70"/>
      <c r="R28" s="70"/>
      <c r="S28" s="69"/>
    </row>
    <row r="29" spans="1:19" x14ac:dyDescent="0.35">
      <c r="C29" s="49"/>
      <c r="D29" s="49"/>
      <c r="E29" s="49"/>
      <c r="F29" s="49"/>
      <c r="G29" s="49"/>
      <c r="H29" s="49"/>
      <c r="I29" s="49"/>
      <c r="J29" s="49"/>
      <c r="K29" s="49"/>
      <c r="L29" s="49"/>
      <c r="Q29" s="70"/>
      <c r="R29" s="70"/>
      <c r="S29" s="69"/>
    </row>
    <row r="30" spans="1:19" x14ac:dyDescent="0.35">
      <c r="Q30" s="70"/>
      <c r="R30" s="70"/>
      <c r="S30" s="69"/>
    </row>
    <row r="31" spans="1:19" x14ac:dyDescent="0.35">
      <c r="C31" s="31"/>
      <c r="D31" s="32"/>
      <c r="E31" s="31"/>
      <c r="F31" s="32"/>
      <c r="G31" s="31"/>
      <c r="H31" s="32"/>
      <c r="I31" s="31"/>
      <c r="J31" s="32"/>
      <c r="K31" s="31"/>
      <c r="L31" s="32"/>
      <c r="Q31" s="70"/>
      <c r="R31" s="70"/>
      <c r="S31" s="69"/>
    </row>
    <row r="32" spans="1:19" x14ac:dyDescent="0.35">
      <c r="C32" s="33"/>
      <c r="D32" s="32"/>
      <c r="E32" s="33"/>
      <c r="F32" s="32"/>
      <c r="G32" s="33"/>
      <c r="H32" s="32"/>
      <c r="I32" s="33"/>
      <c r="J32" s="32"/>
      <c r="K32" s="33"/>
      <c r="L32" s="32"/>
      <c r="Q32" s="70"/>
      <c r="R32" s="70"/>
      <c r="S32" s="69"/>
    </row>
    <row r="33" spans="3:19" x14ac:dyDescent="0.35">
      <c r="C33" s="33"/>
      <c r="D33" s="32"/>
      <c r="E33" s="33"/>
      <c r="F33" s="32"/>
      <c r="G33" s="33"/>
      <c r="H33" s="32"/>
      <c r="I33" s="33"/>
      <c r="J33" s="32"/>
      <c r="K33" s="33"/>
      <c r="L33" s="32"/>
      <c r="Q33" s="70"/>
      <c r="R33" s="70"/>
      <c r="S33" s="69"/>
    </row>
    <row r="34" spans="3:19" x14ac:dyDescent="0.35">
      <c r="C34" s="33"/>
      <c r="D34" s="32"/>
      <c r="E34" s="33"/>
      <c r="F34" s="32"/>
      <c r="G34" s="33"/>
      <c r="H34" s="32"/>
      <c r="I34" s="33"/>
      <c r="J34" s="32"/>
      <c r="K34" s="33"/>
      <c r="L34" s="32"/>
      <c r="Q34" s="70"/>
      <c r="R34" s="70"/>
      <c r="S34" s="69"/>
    </row>
    <row r="35" spans="3:19" x14ac:dyDescent="0.35">
      <c r="C35" s="34"/>
      <c r="D35" s="34"/>
      <c r="E35" s="34"/>
      <c r="F35" s="34"/>
      <c r="G35" s="34"/>
      <c r="H35" s="34"/>
      <c r="I35" s="34"/>
      <c r="J35" s="34"/>
      <c r="K35" s="34"/>
      <c r="L35" s="34"/>
      <c r="Q35" s="70"/>
      <c r="R35" s="70"/>
      <c r="S35" s="69"/>
    </row>
    <row r="36" spans="3:19" x14ac:dyDescent="0.35">
      <c r="C36" s="31"/>
      <c r="D36" s="35"/>
      <c r="E36" s="31"/>
      <c r="F36" s="35"/>
      <c r="G36" s="31"/>
      <c r="H36" s="35"/>
      <c r="I36" s="31"/>
      <c r="J36" s="35"/>
      <c r="K36" s="31"/>
      <c r="L36" s="35"/>
      <c r="Q36" s="70"/>
      <c r="R36" s="70"/>
      <c r="S36" s="69"/>
    </row>
    <row r="37" spans="3:19" x14ac:dyDescent="0.35">
      <c r="Q37" s="70"/>
      <c r="R37" s="70"/>
      <c r="S37" s="69"/>
    </row>
    <row r="38" spans="3:19" x14ac:dyDescent="0.35">
      <c r="Q38" s="70"/>
      <c r="R38" s="70"/>
      <c r="S38" s="69"/>
    </row>
    <row r="39" spans="3:19" x14ac:dyDescent="0.35">
      <c r="Q39" s="70"/>
      <c r="R39" s="70"/>
      <c r="S39" s="69"/>
    </row>
    <row r="40" spans="3:19" x14ac:dyDescent="0.35"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3:19" x14ac:dyDescent="0.35"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3" spans="3:19" x14ac:dyDescent="0.35">
      <c r="C43" s="31"/>
      <c r="D43" s="32"/>
      <c r="E43" s="31"/>
      <c r="F43" s="32"/>
      <c r="G43" s="31"/>
      <c r="H43" s="32"/>
      <c r="I43" s="31"/>
      <c r="J43" s="32"/>
      <c r="K43" s="31"/>
      <c r="L43" s="32"/>
    </row>
    <row r="44" spans="3:19" x14ac:dyDescent="0.35">
      <c r="C44" s="33"/>
      <c r="D44" s="32"/>
      <c r="E44" s="33"/>
      <c r="F44" s="32"/>
      <c r="G44" s="33"/>
      <c r="H44" s="32"/>
      <c r="I44" s="33"/>
      <c r="J44" s="32"/>
      <c r="K44" s="33"/>
      <c r="L44" s="32"/>
    </row>
    <row r="45" spans="3:19" x14ac:dyDescent="0.35">
      <c r="C45" s="33"/>
      <c r="D45" s="32"/>
      <c r="E45" s="33"/>
      <c r="F45" s="32"/>
      <c r="G45" s="33"/>
      <c r="H45" s="32"/>
      <c r="I45" s="33"/>
      <c r="J45" s="32"/>
      <c r="K45" s="33"/>
      <c r="L45" s="32"/>
    </row>
    <row r="46" spans="3:19" x14ac:dyDescent="0.35">
      <c r="C46" s="33"/>
      <c r="D46" s="32"/>
      <c r="E46" s="33"/>
      <c r="F46" s="32"/>
      <c r="G46" s="33"/>
      <c r="H46" s="32"/>
      <c r="I46" s="33"/>
      <c r="J46" s="32"/>
      <c r="K46" s="33"/>
      <c r="L46" s="32"/>
    </row>
    <row r="47" spans="3:19" x14ac:dyDescent="0.35"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3:19" x14ac:dyDescent="0.35">
      <c r="C48" s="31"/>
      <c r="D48" s="35"/>
      <c r="E48" s="31"/>
      <c r="F48" s="35"/>
      <c r="G48" s="31"/>
      <c r="H48" s="35"/>
      <c r="I48" s="31"/>
      <c r="J48" s="35"/>
      <c r="K48" s="31"/>
      <c r="L48" s="35"/>
    </row>
  </sheetData>
  <mergeCells count="24">
    <mergeCell ref="A1:N1"/>
    <mergeCell ref="A2:N2"/>
    <mergeCell ref="A4:N4"/>
    <mergeCell ref="A6:N6"/>
    <mergeCell ref="A8:N8"/>
    <mergeCell ref="A9:N9"/>
    <mergeCell ref="A10:N10"/>
    <mergeCell ref="C40:D40"/>
    <mergeCell ref="E40:F40"/>
    <mergeCell ref="G40:H40"/>
    <mergeCell ref="I40:J40"/>
    <mergeCell ref="K40:L40"/>
    <mergeCell ref="E14:F14"/>
    <mergeCell ref="G14:H14"/>
    <mergeCell ref="S24:S39"/>
    <mergeCell ref="Q27:Q39"/>
    <mergeCell ref="R27:R39"/>
    <mergeCell ref="I28:J28"/>
    <mergeCell ref="K28:L28"/>
    <mergeCell ref="Q14:R14"/>
    <mergeCell ref="O14:P14"/>
    <mergeCell ref="I14:J14"/>
    <mergeCell ref="K14:L14"/>
    <mergeCell ref="M14:N14"/>
  </mergeCells>
  <pageMargins left="1" right="1" top="1" bottom="1.75" header="0.5" footer="0.5"/>
  <pageSetup scale="71" fitToHeight="0" orientation="landscape" r:id="rId1"/>
  <headerFooter scaleWithDoc="0">
    <oddFooter xml:space="preserve">&amp;R&amp;"Times New Roman,Bold"&amp;12 Case No. 2020-00350
Attachment to Response to PSC-1 Question No. 22
Page &amp;P of &amp;N
Arbough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41"/>
  <sheetViews>
    <sheetView topLeftCell="A7" zoomScaleNormal="100" workbookViewId="0">
      <selection activeCell="E29" sqref="E29:F29"/>
    </sheetView>
  </sheetViews>
  <sheetFormatPr defaultRowHeight="12.5" x14ac:dyDescent="0.25"/>
  <cols>
    <col min="1" max="1" width="7.90625" customWidth="1"/>
    <col min="2" max="2" width="16.90625" customWidth="1"/>
    <col min="3" max="3" width="11.54296875" customWidth="1"/>
    <col min="4" max="4" width="9.36328125" bestFit="1" customWidth="1"/>
    <col min="5" max="5" width="12.36328125" bestFit="1" customWidth="1"/>
    <col min="6" max="6" width="9.36328125" bestFit="1" customWidth="1"/>
    <col min="7" max="7" width="11.36328125" bestFit="1" customWidth="1"/>
    <col min="8" max="8" width="9.36328125" bestFit="1" customWidth="1"/>
    <col min="9" max="9" width="11.90625" bestFit="1" customWidth="1"/>
    <col min="10" max="10" width="9.36328125" bestFit="1" customWidth="1"/>
    <col min="11" max="11" width="12.36328125" bestFit="1" customWidth="1"/>
    <col min="12" max="12" width="9.36328125" bestFit="1" customWidth="1"/>
    <col min="13" max="13" width="12" bestFit="1" customWidth="1"/>
    <col min="14" max="14" width="9.36328125" bestFit="1" customWidth="1"/>
    <col min="15" max="15" width="10.36328125" bestFit="1" customWidth="1"/>
    <col min="16" max="16" width="8.6328125" customWidth="1"/>
    <col min="17" max="17" width="10.54296875" customWidth="1"/>
    <col min="19" max="19" width="10.6328125" customWidth="1"/>
  </cols>
  <sheetData>
    <row r="1" spans="1:20" x14ac:dyDescent="0.25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2"/>
      <c r="R1" s="2"/>
      <c r="S1" s="2"/>
      <c r="T1" s="2"/>
    </row>
    <row r="2" spans="1:20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2"/>
      <c r="R2" s="2"/>
      <c r="S2" s="2"/>
      <c r="T2" s="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2"/>
      <c r="R4" s="2"/>
      <c r="S4" s="2"/>
      <c r="T4" s="2"/>
    </row>
    <row r="5" spans="1:2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2"/>
      <c r="R6" s="2"/>
      <c r="S6" s="2"/>
      <c r="T6" s="2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72" t="s">
        <v>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2"/>
      <c r="R8" s="2"/>
      <c r="S8" s="2"/>
      <c r="T8" s="2"/>
    </row>
    <row r="9" spans="1:20" x14ac:dyDescent="0.25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2"/>
      <c r="R9" s="2"/>
      <c r="S9" s="2"/>
      <c r="T9" s="2"/>
    </row>
    <row r="10" spans="1:20" x14ac:dyDescent="0.25">
      <c r="A10" s="76" t="s">
        <v>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2"/>
      <c r="R10" s="2"/>
      <c r="S10" s="2"/>
      <c r="T10" s="2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T13" s="2"/>
    </row>
    <row r="14" spans="1:20" x14ac:dyDescent="0.25">
      <c r="O14" s="1" t="s">
        <v>7</v>
      </c>
    </row>
    <row r="16" spans="1:20" x14ac:dyDescent="0.25">
      <c r="C16" s="73">
        <v>1993</v>
      </c>
      <c r="D16" s="73"/>
      <c r="E16" s="73">
        <v>1994</v>
      </c>
      <c r="F16" s="73"/>
      <c r="G16" s="73">
        <v>1995</v>
      </c>
      <c r="H16" s="73"/>
      <c r="I16" s="73">
        <v>1996</v>
      </c>
      <c r="J16" s="73"/>
      <c r="K16" s="73">
        <v>1997</v>
      </c>
      <c r="L16" s="73"/>
      <c r="M16" s="73">
        <v>1998</v>
      </c>
      <c r="N16" s="73"/>
    </row>
    <row r="17" spans="1:16" x14ac:dyDescent="0.25">
      <c r="A17" s="2" t="s">
        <v>8</v>
      </c>
      <c r="B17" s="2" t="s">
        <v>9</v>
      </c>
      <c r="C17" s="3" t="s">
        <v>10</v>
      </c>
      <c r="D17" s="3" t="s">
        <v>11</v>
      </c>
      <c r="E17" s="3" t="s">
        <v>10</v>
      </c>
      <c r="F17" s="3" t="s">
        <v>11</v>
      </c>
      <c r="G17" s="3" t="s">
        <v>10</v>
      </c>
      <c r="H17" s="3" t="s">
        <v>11</v>
      </c>
      <c r="I17" s="3" t="s">
        <v>10</v>
      </c>
      <c r="J17" s="3" t="s">
        <v>11</v>
      </c>
      <c r="K17" s="3" t="s">
        <v>10</v>
      </c>
      <c r="L17" s="3" t="s">
        <v>11</v>
      </c>
      <c r="M17" s="3" t="s">
        <v>10</v>
      </c>
      <c r="N17" s="3" t="s">
        <v>11</v>
      </c>
    </row>
    <row r="18" spans="1:16" x14ac:dyDescent="0.25">
      <c r="A18" s="2"/>
    </row>
    <row r="19" spans="1:16" x14ac:dyDescent="0.25">
      <c r="A19" s="2">
        <v>1</v>
      </c>
      <c r="B19" t="s">
        <v>12</v>
      </c>
      <c r="C19" s="6">
        <v>662879</v>
      </c>
      <c r="D19" s="5">
        <f>C19/C25</f>
        <v>0.43346899967434849</v>
      </c>
      <c r="E19" s="4">
        <v>662862</v>
      </c>
      <c r="F19" s="5">
        <f>E19/E25</f>
        <v>0.42110726621616384</v>
      </c>
      <c r="G19" s="4">
        <f>646845+16000</f>
        <v>662845</v>
      </c>
      <c r="H19" s="5">
        <f>G19/G25</f>
        <v>0.38755907565133041</v>
      </c>
      <c r="I19" s="4">
        <f>646835</f>
        <v>646835</v>
      </c>
      <c r="J19" s="5">
        <f>I19/I25</f>
        <v>0.37796083981299311</v>
      </c>
      <c r="K19" s="6">
        <f>664339+20000</f>
        <v>684339</v>
      </c>
      <c r="L19" s="5">
        <f>K19/K25</f>
        <v>0.32838819674144992</v>
      </c>
      <c r="M19" s="6">
        <v>1510775</v>
      </c>
      <c r="N19" s="5">
        <f>M19/M25</f>
        <v>0.44943571204818811</v>
      </c>
    </row>
    <row r="20" spans="1:16" x14ac:dyDescent="0.25">
      <c r="A20" s="2">
        <v>2</v>
      </c>
      <c r="B20" t="s">
        <v>13</v>
      </c>
      <c r="C20" s="6">
        <v>20000</v>
      </c>
      <c r="D20" s="5">
        <f>C20/C25</f>
        <v>1.3078374776523271E-2</v>
      </c>
      <c r="E20" s="4">
        <v>32000</v>
      </c>
      <c r="F20" s="5">
        <f>E20/E25</f>
        <v>2.0329167336364497E-2</v>
      </c>
      <c r="G20" s="4">
        <v>173000</v>
      </c>
      <c r="H20" s="5">
        <f>G20/G25</f>
        <v>0.10115143070805417</v>
      </c>
      <c r="I20" s="4">
        <v>158000</v>
      </c>
      <c r="J20" s="5">
        <f>I20/I25</f>
        <v>9.232310046681598E-2</v>
      </c>
      <c r="K20" s="6">
        <v>360184</v>
      </c>
      <c r="L20" s="5">
        <f>K20/K25</f>
        <v>0.17283857014596918</v>
      </c>
      <c r="M20" s="6">
        <v>365135</v>
      </c>
      <c r="N20" s="5">
        <f>M20/M25</f>
        <v>0.10862286489961455</v>
      </c>
    </row>
    <row r="21" spans="1:16" x14ac:dyDescent="0.25">
      <c r="A21" s="2">
        <v>3</v>
      </c>
      <c r="B21" t="s">
        <v>14</v>
      </c>
      <c r="C21" s="6">
        <v>0</v>
      </c>
      <c r="D21" s="4">
        <f>C21/C25</f>
        <v>0</v>
      </c>
      <c r="E21" s="4">
        <v>0</v>
      </c>
      <c r="F21" s="4">
        <f>E21/E25</f>
        <v>0</v>
      </c>
      <c r="G21" s="4">
        <v>0</v>
      </c>
      <c r="H21" s="4">
        <f>G21/G25</f>
        <v>0</v>
      </c>
      <c r="I21" s="4">
        <f>0</f>
        <v>0</v>
      </c>
      <c r="J21" s="4">
        <f>I21/I25</f>
        <v>0</v>
      </c>
      <c r="K21" s="6">
        <v>0</v>
      </c>
      <c r="L21" s="4">
        <f>K21/K25</f>
        <v>0</v>
      </c>
      <c r="M21" s="6">
        <v>0</v>
      </c>
      <c r="N21" s="4">
        <f>M21/M25</f>
        <v>0</v>
      </c>
    </row>
    <row r="22" spans="1:16" x14ac:dyDescent="0.25">
      <c r="A22" s="2">
        <v>4</v>
      </c>
      <c r="B22" t="s">
        <v>15</v>
      </c>
      <c r="C22" s="4">
        <v>116716</v>
      </c>
      <c r="D22" s="5">
        <f>C22/C25</f>
        <v>7.6322779520834508E-2</v>
      </c>
      <c r="E22" s="4">
        <v>116716</v>
      </c>
      <c r="F22" s="5">
        <f>E22/E25</f>
        <v>7.4148096713472458E-2</v>
      </c>
      <c r="G22" s="4">
        <v>95328</v>
      </c>
      <c r="H22" s="5">
        <f>G22/G25</f>
        <v>5.5737361771892417E-2</v>
      </c>
      <c r="I22" s="4">
        <v>95328</v>
      </c>
      <c r="J22" s="5">
        <f>I22/I25</f>
        <v>5.570238304620654E-2</v>
      </c>
      <c r="K22" s="6">
        <v>98353</v>
      </c>
      <c r="L22" s="5">
        <f>K22/K25</f>
        <v>4.7195855145055046E-2</v>
      </c>
      <c r="M22" s="6">
        <v>136530</v>
      </c>
      <c r="N22" s="5">
        <f>M22/M25</f>
        <v>4.0615881098071599E-2</v>
      </c>
    </row>
    <row r="23" spans="1:16" x14ac:dyDescent="0.25">
      <c r="A23" s="2">
        <v>5</v>
      </c>
      <c r="B23" t="s">
        <v>16</v>
      </c>
      <c r="C23" s="4">
        <v>729647</v>
      </c>
      <c r="D23" s="5">
        <f>C23/C25</f>
        <v>0.47712984602829378</v>
      </c>
      <c r="E23" s="4">
        <v>762515</v>
      </c>
      <c r="F23" s="5">
        <f>E23/E25</f>
        <v>0.48441546973399918</v>
      </c>
      <c r="G23" s="4">
        <v>779134</v>
      </c>
      <c r="H23" s="5">
        <f>G23/G25</f>
        <v>0.45555213186872301</v>
      </c>
      <c r="I23" s="4">
        <v>811218</v>
      </c>
      <c r="J23" s="5">
        <f>I23/I25</f>
        <v>0.47401367667398436</v>
      </c>
      <c r="K23" s="6">
        <v>835072</v>
      </c>
      <c r="L23" s="5">
        <f>K23/K25</f>
        <v>0.40071921698058433</v>
      </c>
      <c r="M23" s="6">
        <v>1241238</v>
      </c>
      <c r="N23" s="5">
        <f>M23/M25</f>
        <v>0.36925199606246389</v>
      </c>
    </row>
    <row r="24" spans="1:16" x14ac:dyDescent="0.25">
      <c r="A24" s="2">
        <v>6</v>
      </c>
      <c r="B24" t="s">
        <v>23</v>
      </c>
      <c r="C24" s="8">
        <v>0</v>
      </c>
      <c r="D24" s="8">
        <f>C24/C25</f>
        <v>0</v>
      </c>
      <c r="E24" s="8"/>
      <c r="F24" s="8">
        <f>E24/E25</f>
        <v>0</v>
      </c>
      <c r="G24" s="8"/>
      <c r="H24" s="8">
        <f>G24/G25</f>
        <v>0</v>
      </c>
      <c r="I24" s="8"/>
      <c r="J24" s="8">
        <f>I24/I25</f>
        <v>0</v>
      </c>
      <c r="K24" s="9">
        <v>105985</v>
      </c>
      <c r="L24" s="17">
        <f>K24/K25</f>
        <v>5.0858160986941521E-2</v>
      </c>
      <c r="M24" s="9">
        <v>107815</v>
      </c>
      <c r="N24" s="17">
        <f>M24/M25</f>
        <v>3.207354589166183E-2</v>
      </c>
    </row>
    <row r="25" spans="1:16" x14ac:dyDescent="0.25">
      <c r="A25" s="2">
        <v>7</v>
      </c>
      <c r="B25" t="s">
        <v>18</v>
      </c>
      <c r="C25" s="4">
        <f t="shared" ref="C25:N25" si="0">SUM(C19:C24)</f>
        <v>1529242</v>
      </c>
      <c r="D25" s="5">
        <f t="shared" si="0"/>
        <v>1</v>
      </c>
      <c r="E25" s="4">
        <f t="shared" si="0"/>
        <v>1574093</v>
      </c>
      <c r="F25" s="10">
        <f t="shared" si="0"/>
        <v>1</v>
      </c>
      <c r="G25" s="4">
        <f t="shared" si="0"/>
        <v>1710307</v>
      </c>
      <c r="H25" s="5">
        <f t="shared" si="0"/>
        <v>1</v>
      </c>
      <c r="I25" s="4">
        <f t="shared" si="0"/>
        <v>1711381</v>
      </c>
      <c r="J25" s="5">
        <f t="shared" si="0"/>
        <v>1</v>
      </c>
      <c r="K25" s="6">
        <f t="shared" si="0"/>
        <v>2083933</v>
      </c>
      <c r="L25" s="5">
        <f t="shared" si="0"/>
        <v>1</v>
      </c>
      <c r="M25" s="6">
        <f t="shared" si="0"/>
        <v>3361493</v>
      </c>
      <c r="N25" s="5">
        <f t="shared" si="0"/>
        <v>0.99999999999999989</v>
      </c>
    </row>
    <row r="26" spans="1:16" x14ac:dyDescent="0.25">
      <c r="A26" s="2"/>
    </row>
    <row r="27" spans="1:16" x14ac:dyDescent="0.25">
      <c r="A27" s="2"/>
    </row>
    <row r="28" spans="1:16" x14ac:dyDescent="0.25">
      <c r="A28" s="2"/>
      <c r="M28" s="76" t="s">
        <v>19</v>
      </c>
      <c r="N28" s="72"/>
    </row>
    <row r="29" spans="1:16" x14ac:dyDescent="0.25">
      <c r="A29" s="2"/>
      <c r="C29" s="73">
        <v>1999</v>
      </c>
      <c r="D29" s="73"/>
      <c r="E29" s="73">
        <v>2000</v>
      </c>
      <c r="F29" s="73"/>
      <c r="G29" s="73">
        <v>2001</v>
      </c>
      <c r="H29" s="73"/>
      <c r="I29" s="73">
        <v>2002</v>
      </c>
      <c r="J29" s="73"/>
      <c r="K29" s="73" t="s">
        <v>20</v>
      </c>
      <c r="L29" s="73"/>
      <c r="M29" s="73" t="s">
        <v>21</v>
      </c>
      <c r="N29" s="73"/>
      <c r="O29" s="74"/>
      <c r="P29" s="75"/>
    </row>
    <row r="30" spans="1:16" x14ac:dyDescent="0.25">
      <c r="A30" s="2" t="s">
        <v>8</v>
      </c>
      <c r="B30" s="2" t="s">
        <v>9</v>
      </c>
      <c r="C30" s="3" t="s">
        <v>10</v>
      </c>
      <c r="D30" s="3" t="s">
        <v>11</v>
      </c>
      <c r="E30" s="3" t="s">
        <v>10</v>
      </c>
      <c r="F30" s="3" t="s">
        <v>11</v>
      </c>
      <c r="G30" s="3" t="s">
        <v>10</v>
      </c>
      <c r="H30" s="3" t="s">
        <v>11</v>
      </c>
      <c r="I30" s="12" t="s">
        <v>10</v>
      </c>
      <c r="J30" s="12" t="s">
        <v>11</v>
      </c>
      <c r="K30" s="12" t="s">
        <v>10</v>
      </c>
      <c r="L30" s="12" t="s">
        <v>11</v>
      </c>
      <c r="M30" s="12" t="s">
        <v>10</v>
      </c>
      <c r="N30" s="12" t="s">
        <v>11</v>
      </c>
      <c r="O30" s="19"/>
      <c r="P30" s="19"/>
    </row>
    <row r="31" spans="1:16" x14ac:dyDescent="0.25">
      <c r="A31" s="2"/>
      <c r="O31" s="20"/>
      <c r="P31" s="20"/>
    </row>
    <row r="32" spans="1:16" x14ac:dyDescent="0.25">
      <c r="A32" s="2">
        <v>1</v>
      </c>
      <c r="B32" t="s">
        <v>12</v>
      </c>
      <c r="C32" s="6">
        <f>1299415+411810</f>
        <v>1711225</v>
      </c>
      <c r="D32" s="5">
        <f>C32/C38</f>
        <v>0.48239204549618958</v>
      </c>
      <c r="E32" s="6">
        <f>1091553+639464</f>
        <v>1731017</v>
      </c>
      <c r="F32" s="5">
        <f>E32/E38</f>
        <v>0.4953365565662497</v>
      </c>
      <c r="G32" s="6">
        <f>1255241+300370</f>
        <v>1555611</v>
      </c>
      <c r="H32" s="5">
        <f>G32/G38</f>
        <v>0.43052898287001612</v>
      </c>
      <c r="I32" s="6">
        <f>1135374+443455</f>
        <v>1578829</v>
      </c>
      <c r="J32" s="5">
        <f>I32/I38</f>
        <v>0.21481271649419242</v>
      </c>
      <c r="K32" s="6">
        <v>2053165</v>
      </c>
      <c r="L32" s="5">
        <f>K32/K38</f>
        <v>0.26802558949142152</v>
      </c>
      <c r="M32" s="6">
        <v>2053165</v>
      </c>
      <c r="N32" s="5">
        <f>M32/M38</f>
        <v>0.26802558949142152</v>
      </c>
      <c r="O32" s="7"/>
      <c r="P32" s="13"/>
    </row>
    <row r="33" spans="1:16" x14ac:dyDescent="0.25">
      <c r="A33" s="2">
        <v>2</v>
      </c>
      <c r="B33" t="s">
        <v>13</v>
      </c>
      <c r="C33" s="6">
        <v>449578</v>
      </c>
      <c r="D33" s="5">
        <f>C33/C38</f>
        <v>0.12673543866533385</v>
      </c>
      <c r="E33" s="6">
        <v>0</v>
      </c>
      <c r="F33" s="6">
        <f>E33/E38</f>
        <v>0</v>
      </c>
      <c r="G33" s="6">
        <v>67944</v>
      </c>
      <c r="H33" s="5">
        <f>G33/G38</f>
        <v>1.8804097690309707E-2</v>
      </c>
      <c r="I33" s="6">
        <v>268188</v>
      </c>
      <c r="J33" s="5">
        <f>I33/I38</f>
        <v>3.6489190920070809E-2</v>
      </c>
      <c r="K33" s="6">
        <v>46000</v>
      </c>
      <c r="L33" s="5">
        <f>K33/K38</f>
        <v>6.004961664846902E-3</v>
      </c>
      <c r="M33" s="6">
        <v>46000</v>
      </c>
      <c r="N33" s="5">
        <f>M33/M38</f>
        <v>6.004961664846902E-3</v>
      </c>
      <c r="O33" s="7"/>
      <c r="P33" s="13"/>
    </row>
    <row r="34" spans="1:16" x14ac:dyDescent="0.25">
      <c r="A34" s="2">
        <v>3</v>
      </c>
      <c r="B34" t="s">
        <v>15</v>
      </c>
      <c r="C34" s="6">
        <v>135328</v>
      </c>
      <c r="D34" s="5">
        <f>C34/C38</f>
        <v>3.81487827333684E-2</v>
      </c>
      <c r="E34" s="6">
        <v>135140</v>
      </c>
      <c r="F34" s="5">
        <f>E34/E38</f>
        <v>3.8670782698473197E-2</v>
      </c>
      <c r="G34" s="6">
        <v>135140</v>
      </c>
      <c r="H34" s="5">
        <f>G34/G38</f>
        <v>3.7401179822625308E-2</v>
      </c>
      <c r="I34" s="6">
        <v>135140</v>
      </c>
      <c r="J34" s="5">
        <f>I34/I38</f>
        <v>1.8386912393315021E-2</v>
      </c>
      <c r="K34" s="6">
        <v>109867</v>
      </c>
      <c r="L34" s="5">
        <f>K34/K38</f>
        <v>1.4342328765907275E-2</v>
      </c>
      <c r="M34" s="6">
        <v>109867</v>
      </c>
      <c r="N34" s="5">
        <f>M34/M38</f>
        <v>1.4342328765907275E-2</v>
      </c>
      <c r="O34" s="7"/>
      <c r="P34" s="13"/>
    </row>
    <row r="35" spans="1:16" x14ac:dyDescent="0.25">
      <c r="A35" s="2">
        <v>4</v>
      </c>
      <c r="B35" t="s">
        <v>14</v>
      </c>
      <c r="C35" s="6">
        <v>0</v>
      </c>
      <c r="D35" s="6">
        <f>C35/C38</f>
        <v>0</v>
      </c>
      <c r="E35" s="6">
        <v>0</v>
      </c>
      <c r="F35" s="6">
        <f>E35/E38</f>
        <v>0</v>
      </c>
      <c r="G35" s="6">
        <v>87100</v>
      </c>
      <c r="H35" s="5">
        <f>G35/G38</f>
        <v>2.4105688638083943E-2</v>
      </c>
      <c r="I35" s="6">
        <v>112500</v>
      </c>
      <c r="J35" s="5">
        <f>I35/I38</f>
        <v>1.5306553531507621E-2</v>
      </c>
      <c r="K35" s="6">
        <v>124100</v>
      </c>
      <c r="L35" s="5">
        <f>K35/K38</f>
        <v>1.6200342230597839E-2</v>
      </c>
      <c r="M35" s="6">
        <v>124100</v>
      </c>
      <c r="N35" s="5">
        <f>M35/M38</f>
        <v>1.6200342230597839E-2</v>
      </c>
      <c r="O35" s="7"/>
      <c r="P35" s="13"/>
    </row>
    <row r="36" spans="1:16" x14ac:dyDescent="0.25">
      <c r="A36" s="2">
        <v>5</v>
      </c>
      <c r="B36" t="s">
        <v>16</v>
      </c>
      <c r="C36" s="6">
        <v>1141291</v>
      </c>
      <c r="D36" s="5">
        <f>C36/C38</f>
        <v>0.32172841093157922</v>
      </c>
      <c r="E36" s="6">
        <v>1519016</v>
      </c>
      <c r="F36" s="5">
        <f>E36/E38</f>
        <v>0.43467173043883356</v>
      </c>
      <c r="G36" s="6">
        <v>1661494</v>
      </c>
      <c r="H36" s="5">
        <f>G36/G38</f>
        <v>0.45983303143564458</v>
      </c>
      <c r="I36" s="14">
        <v>5245267</v>
      </c>
      <c r="J36" s="5">
        <f>I36/I38</f>
        <v>0.71366186775600349</v>
      </c>
      <c r="K36" s="6">
        <v>5317820</v>
      </c>
      <c r="L36" s="5">
        <f>K36/K38</f>
        <v>0.69420228783817728</v>
      </c>
      <c r="M36" s="6">
        <v>5317820</v>
      </c>
      <c r="N36" s="5">
        <f>M36/M38</f>
        <v>0.69420228783817728</v>
      </c>
      <c r="O36" s="7"/>
      <c r="P36" s="13"/>
    </row>
    <row r="37" spans="1:16" x14ac:dyDescent="0.25">
      <c r="A37" s="2">
        <v>6</v>
      </c>
      <c r="B37" t="s">
        <v>23</v>
      </c>
      <c r="C37" s="9">
        <v>109952</v>
      </c>
      <c r="D37" s="17">
        <f>C37/C38</f>
        <v>3.0995322173528926E-2</v>
      </c>
      <c r="E37" s="9">
        <v>109455</v>
      </c>
      <c r="F37" s="17">
        <f>E37/E38</f>
        <v>3.1320930296443568E-2</v>
      </c>
      <c r="G37" s="9">
        <v>105966</v>
      </c>
      <c r="H37" s="17">
        <f>G37/G38</f>
        <v>2.9327019543320357E-2</v>
      </c>
      <c r="I37" s="9">
        <v>9869</v>
      </c>
      <c r="J37" s="17">
        <f>I37/I38</f>
        <v>1.3427589049106554E-3</v>
      </c>
      <c r="K37" s="9">
        <v>9380</v>
      </c>
      <c r="L37" s="17">
        <f>K37/K38</f>
        <v>1.2244900090492162E-3</v>
      </c>
      <c r="M37" s="9">
        <v>9380</v>
      </c>
      <c r="N37" s="17">
        <f>M37/M38</f>
        <v>1.2244900090492162E-3</v>
      </c>
      <c r="O37" s="7"/>
      <c r="P37" s="7"/>
    </row>
    <row r="38" spans="1:16" x14ac:dyDescent="0.25">
      <c r="A38" s="2">
        <v>7</v>
      </c>
      <c r="B38" t="s">
        <v>18</v>
      </c>
      <c r="C38" s="6">
        <f t="shared" ref="C38:N38" si="1">SUM(C32:C37)</f>
        <v>3547374</v>
      </c>
      <c r="D38" s="11">
        <f t="shared" si="1"/>
        <v>1</v>
      </c>
      <c r="E38" s="6">
        <f t="shared" si="1"/>
        <v>3494628</v>
      </c>
      <c r="F38" s="5">
        <f t="shared" si="1"/>
        <v>1</v>
      </c>
      <c r="G38" s="6">
        <f t="shared" si="1"/>
        <v>3613255</v>
      </c>
      <c r="H38" s="5">
        <f t="shared" si="1"/>
        <v>1</v>
      </c>
      <c r="I38" s="15">
        <f t="shared" si="1"/>
        <v>7349793</v>
      </c>
      <c r="J38" s="16">
        <f t="shared" si="1"/>
        <v>1</v>
      </c>
      <c r="K38" s="15">
        <f t="shared" si="1"/>
        <v>7660332</v>
      </c>
      <c r="L38" s="16">
        <f t="shared" si="1"/>
        <v>1</v>
      </c>
      <c r="M38" s="6">
        <f t="shared" si="1"/>
        <v>7660332</v>
      </c>
      <c r="N38" s="5">
        <f t="shared" si="1"/>
        <v>1</v>
      </c>
      <c r="O38" s="7"/>
      <c r="P38" s="21"/>
    </row>
    <row r="39" spans="1:16" x14ac:dyDescent="0.25">
      <c r="A39" s="2"/>
      <c r="O39" s="20"/>
      <c r="P39" s="20"/>
    </row>
    <row r="40" spans="1:16" x14ac:dyDescent="0.25">
      <c r="A40" s="18" t="s">
        <v>47</v>
      </c>
    </row>
    <row r="41" spans="1:16" x14ac:dyDescent="0.25">
      <c r="A41" s="2"/>
    </row>
  </sheetData>
  <mergeCells count="21">
    <mergeCell ref="C29:D29"/>
    <mergeCell ref="G29:H29"/>
    <mergeCell ref="E16:F16"/>
    <mergeCell ref="K29:L29"/>
    <mergeCell ref="E29:F29"/>
    <mergeCell ref="A9:P9"/>
    <mergeCell ref="I29:J29"/>
    <mergeCell ref="G16:H16"/>
    <mergeCell ref="M29:N29"/>
    <mergeCell ref="A1:P1"/>
    <mergeCell ref="A2:P2"/>
    <mergeCell ref="A4:P4"/>
    <mergeCell ref="A6:P6"/>
    <mergeCell ref="A8:P8"/>
    <mergeCell ref="I16:J16"/>
    <mergeCell ref="O29:P29"/>
    <mergeCell ref="C16:D16"/>
    <mergeCell ref="M16:N16"/>
    <mergeCell ref="A10:P10"/>
    <mergeCell ref="M28:N28"/>
    <mergeCell ref="K16:L16"/>
  </mergeCells>
  <phoneticPr fontId="0" type="noConversion"/>
  <pageMargins left="0.75" right="0.75" top="1" bottom="1" header="0.5" footer="0.5"/>
  <pageSetup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U53"/>
  <sheetViews>
    <sheetView showGridLines="0" zoomScaleNormal="100" workbookViewId="0">
      <selection activeCell="B19" sqref="B19"/>
    </sheetView>
  </sheetViews>
  <sheetFormatPr defaultColWidth="9.08984375" defaultRowHeight="15.5" x14ac:dyDescent="0.35"/>
  <cols>
    <col min="1" max="1" width="5.453125" style="23" customWidth="1"/>
    <col min="2" max="2" width="30.08984375" style="23" customWidth="1"/>
    <col min="3" max="3" width="20.6328125" style="23" customWidth="1"/>
    <col min="4" max="8" width="13.08984375" style="23" customWidth="1"/>
    <col min="9" max="9" width="13.36328125" style="23" customWidth="1"/>
    <col min="10" max="10" width="12.6328125" style="23" customWidth="1"/>
    <col min="11" max="11" width="12.6328125" style="23" bestFit="1" customWidth="1"/>
    <col min="12" max="12" width="13.36328125" style="23" customWidth="1"/>
    <col min="13" max="15" width="2.6328125" style="23" customWidth="1"/>
    <col min="16" max="16384" width="9.08984375" style="23"/>
  </cols>
  <sheetData>
    <row r="1" spans="1:21" x14ac:dyDescent="0.3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63"/>
      <c r="N1" s="63"/>
      <c r="O1" s="63"/>
      <c r="P1" s="63"/>
      <c r="Q1" s="63"/>
    </row>
    <row r="2" spans="1:21" x14ac:dyDescent="0.35">
      <c r="A2" s="77" t="str">
        <f>+'22 - LG&amp;E - Sched E1'!A2</f>
        <v>Case No. 2020-00350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35">
      <c r="M3" s="63"/>
      <c r="N3" s="63"/>
      <c r="O3" s="63"/>
      <c r="P3" s="63"/>
      <c r="Q3" s="63"/>
    </row>
    <row r="4" spans="1:21" x14ac:dyDescent="0.35">
      <c r="A4" s="77" t="s">
        <v>66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63"/>
      <c r="N4" s="63"/>
      <c r="O4" s="63"/>
      <c r="P4" s="63"/>
      <c r="Q4" s="63"/>
    </row>
    <row r="5" spans="1:21" x14ac:dyDescent="0.3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63"/>
      <c r="O5" s="63"/>
      <c r="P5" s="63"/>
      <c r="Q5" s="63"/>
    </row>
    <row r="6" spans="1:21" x14ac:dyDescent="0.35">
      <c r="A6" s="77" t="s">
        <v>50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63"/>
      <c r="N6" s="63"/>
      <c r="O6" s="63"/>
      <c r="P6" s="63"/>
      <c r="Q6" s="63"/>
    </row>
    <row r="7" spans="1:21" x14ac:dyDescent="0.35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21" x14ac:dyDescent="0.35">
      <c r="A8" s="77" t="s">
        <v>24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63"/>
      <c r="N8" s="63"/>
      <c r="O8" s="63"/>
      <c r="P8" s="63"/>
      <c r="Q8" s="63"/>
    </row>
    <row r="9" spans="1:21" x14ac:dyDescent="0.35">
      <c r="A9" s="77" t="s">
        <v>63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63"/>
      <c r="N9" s="63"/>
      <c r="O9" s="63"/>
      <c r="P9" s="63"/>
      <c r="Q9" s="63"/>
    </row>
    <row r="10" spans="1:21" x14ac:dyDescent="0.35">
      <c r="A10" s="78" t="s">
        <v>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63"/>
      <c r="N10" s="63"/>
      <c r="O10" s="63"/>
      <c r="P10" s="63"/>
      <c r="Q10" s="63"/>
    </row>
    <row r="11" spans="1:21" x14ac:dyDescent="0.35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21" x14ac:dyDescent="0.35">
      <c r="B12" s="63"/>
      <c r="C12" s="63"/>
      <c r="D12" s="63"/>
      <c r="E12" s="63"/>
      <c r="F12" s="63"/>
      <c r="G12" s="63"/>
      <c r="H12" s="63"/>
      <c r="I12" s="63"/>
      <c r="J12" s="63"/>
      <c r="L12" s="62" t="s">
        <v>67</v>
      </c>
      <c r="M12" s="63"/>
      <c r="N12" s="63"/>
      <c r="O12" s="63"/>
      <c r="P12" s="63"/>
      <c r="Q12" s="63"/>
    </row>
    <row r="13" spans="1:21" x14ac:dyDescent="0.3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21" x14ac:dyDescent="0.35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2" t="s">
        <v>25</v>
      </c>
      <c r="M14" s="63"/>
      <c r="N14" s="63"/>
      <c r="O14" s="63"/>
      <c r="P14" s="63"/>
      <c r="Q14" s="63"/>
    </row>
    <row r="15" spans="1:21" x14ac:dyDescent="0.35">
      <c r="B15" s="63"/>
      <c r="C15" s="63"/>
      <c r="D15" s="62" t="s">
        <v>26</v>
      </c>
      <c r="E15" s="62"/>
      <c r="F15" s="62" t="s">
        <v>60</v>
      </c>
      <c r="G15" s="62" t="s">
        <v>59</v>
      </c>
      <c r="H15" s="62" t="s">
        <v>27</v>
      </c>
      <c r="I15" s="62" t="s">
        <v>28</v>
      </c>
      <c r="J15" s="62" t="s">
        <v>29</v>
      </c>
      <c r="K15" s="62" t="s">
        <v>30</v>
      </c>
      <c r="L15" s="62" t="s">
        <v>29</v>
      </c>
      <c r="M15" s="63"/>
      <c r="N15" s="63"/>
      <c r="O15" s="63"/>
      <c r="P15" s="63"/>
      <c r="Q15" s="63"/>
    </row>
    <row r="16" spans="1:21" ht="18.5" x14ac:dyDescent="0.35">
      <c r="A16" s="62" t="s">
        <v>31</v>
      </c>
      <c r="B16" s="62"/>
      <c r="C16" s="62" t="s">
        <v>32</v>
      </c>
      <c r="D16" s="62" t="s">
        <v>33</v>
      </c>
      <c r="E16" s="62" t="s">
        <v>26</v>
      </c>
      <c r="F16" s="62" t="s">
        <v>57</v>
      </c>
      <c r="G16" s="62" t="s">
        <v>58</v>
      </c>
      <c r="H16" s="63" t="s">
        <v>33</v>
      </c>
      <c r="I16" s="62" t="s">
        <v>34</v>
      </c>
      <c r="J16" s="62" t="s">
        <v>54</v>
      </c>
      <c r="K16" s="63" t="s">
        <v>35</v>
      </c>
      <c r="L16" s="62" t="s">
        <v>36</v>
      </c>
      <c r="M16" s="62"/>
      <c r="N16" s="62"/>
      <c r="O16" s="62"/>
      <c r="P16" s="62"/>
    </row>
    <row r="17" spans="1:16" x14ac:dyDescent="0.35">
      <c r="A17" s="38" t="s">
        <v>37</v>
      </c>
      <c r="B17" s="38" t="s">
        <v>38</v>
      </c>
      <c r="C17" s="38" t="s">
        <v>39</v>
      </c>
      <c r="D17" s="25" t="s">
        <v>49</v>
      </c>
      <c r="E17" s="25"/>
      <c r="F17" s="25"/>
      <c r="G17" s="25"/>
      <c r="H17" s="38" t="s">
        <v>40</v>
      </c>
      <c r="I17" s="25" t="s">
        <v>48</v>
      </c>
      <c r="J17" s="25" t="s">
        <v>55</v>
      </c>
      <c r="K17" s="25" t="s">
        <v>41</v>
      </c>
      <c r="L17" s="25" t="s">
        <v>42</v>
      </c>
      <c r="M17" s="62"/>
      <c r="N17" s="62"/>
      <c r="O17" s="62"/>
      <c r="P17" s="62"/>
    </row>
    <row r="18" spans="1:16" x14ac:dyDescent="0.35">
      <c r="D18" s="26"/>
      <c r="E18" s="26"/>
      <c r="F18" s="26"/>
      <c r="G18" s="26"/>
      <c r="H18" s="26"/>
      <c r="I18" s="26"/>
      <c r="J18" s="26"/>
      <c r="L18" s="26"/>
      <c r="M18" s="26"/>
      <c r="N18" s="26"/>
      <c r="O18" s="26"/>
      <c r="P18" s="26"/>
    </row>
    <row r="19" spans="1:16" x14ac:dyDescent="0.35">
      <c r="A19" s="62">
        <v>1</v>
      </c>
      <c r="B19" s="36" t="s">
        <v>53</v>
      </c>
      <c r="C19" s="22">
        <f t="shared" ref="C19:C31" si="0">+D19+H19+L19</f>
        <v>4369589</v>
      </c>
      <c r="D19" s="22">
        <f>SUM(E19:G19)</f>
        <v>1792446</v>
      </c>
      <c r="E19" s="22">
        <v>1820175</v>
      </c>
      <c r="F19" s="22">
        <v>-13190</v>
      </c>
      <c r="G19" s="22">
        <v>-14539</v>
      </c>
      <c r="H19" s="22">
        <v>279133</v>
      </c>
      <c r="I19" s="22">
        <v>0</v>
      </c>
      <c r="J19" s="65">
        <f>425170-835+601081</f>
        <v>1025416</v>
      </c>
      <c r="K19" s="27">
        <v>1272594</v>
      </c>
      <c r="L19" s="27">
        <f t="shared" ref="L19:L31" si="1">SUM(J19:K19)</f>
        <v>2298010</v>
      </c>
    </row>
    <row r="20" spans="1:16" x14ac:dyDescent="0.35">
      <c r="A20" s="62">
        <f t="shared" ref="A20:A35" si="2">A19+1</f>
        <v>2</v>
      </c>
      <c r="B20" s="36">
        <v>43466</v>
      </c>
      <c r="C20" s="22">
        <f t="shared" si="0"/>
        <v>4390859</v>
      </c>
      <c r="D20" s="22">
        <f>SUM(E20:G20)</f>
        <v>1792750</v>
      </c>
      <c r="E20" s="22">
        <v>1820191</v>
      </c>
      <c r="F20" s="22">
        <v>-12989</v>
      </c>
      <c r="G20" s="22">
        <v>-14452</v>
      </c>
      <c r="H20" s="22">
        <v>273853</v>
      </c>
      <c r="I20" s="22">
        <v>0</v>
      </c>
      <c r="J20" s="65">
        <f t="shared" ref="J20:J24" si="3">425170-835+601081</f>
        <v>1025416</v>
      </c>
      <c r="K20" s="27">
        <v>1298840</v>
      </c>
      <c r="L20" s="27">
        <f t="shared" si="1"/>
        <v>2324256</v>
      </c>
    </row>
    <row r="21" spans="1:16" x14ac:dyDescent="0.35">
      <c r="A21" s="62">
        <f t="shared" si="2"/>
        <v>3</v>
      </c>
      <c r="B21" s="36">
        <v>43497</v>
      </c>
      <c r="C21" s="22">
        <f t="shared" si="0"/>
        <v>4408584</v>
      </c>
      <c r="D21" s="22">
        <f t="shared" ref="D21:D31" si="4">SUM(E21:G21)</f>
        <v>1793005</v>
      </c>
      <c r="E21" s="22">
        <v>1820205</v>
      </c>
      <c r="F21" s="22">
        <v>-12827</v>
      </c>
      <c r="G21" s="22">
        <v>-14373</v>
      </c>
      <c r="H21" s="22">
        <v>272855</v>
      </c>
      <c r="I21" s="22">
        <v>0</v>
      </c>
      <c r="J21" s="65">
        <f t="shared" si="3"/>
        <v>1025416</v>
      </c>
      <c r="K21" s="22">
        <v>1317308</v>
      </c>
      <c r="L21" s="27">
        <f t="shared" si="1"/>
        <v>2342724</v>
      </c>
    </row>
    <row r="22" spans="1:16" x14ac:dyDescent="0.35">
      <c r="A22" s="62">
        <f t="shared" si="2"/>
        <v>4</v>
      </c>
      <c r="B22" s="36">
        <v>43525</v>
      </c>
      <c r="C22" s="22">
        <f t="shared" si="0"/>
        <v>4393436</v>
      </c>
      <c r="D22" s="22">
        <f t="shared" si="4"/>
        <v>1792687</v>
      </c>
      <c r="E22" s="22">
        <v>1820220</v>
      </c>
      <c r="F22" s="22">
        <v>-13247</v>
      </c>
      <c r="G22" s="22">
        <v>-14286</v>
      </c>
      <c r="H22" s="22">
        <v>268894</v>
      </c>
      <c r="I22" s="22">
        <v>0</v>
      </c>
      <c r="J22" s="65">
        <f t="shared" si="3"/>
        <v>1025416</v>
      </c>
      <c r="K22" s="22">
        <v>1306439</v>
      </c>
      <c r="L22" s="27">
        <f t="shared" si="1"/>
        <v>2331855</v>
      </c>
    </row>
    <row r="23" spans="1:16" x14ac:dyDescent="0.35">
      <c r="A23" s="62">
        <f t="shared" si="2"/>
        <v>5</v>
      </c>
      <c r="B23" s="36">
        <v>43556</v>
      </c>
      <c r="C23" s="22">
        <f t="shared" si="0"/>
        <v>4401632</v>
      </c>
      <c r="D23" s="22">
        <f t="shared" si="4"/>
        <v>1988033</v>
      </c>
      <c r="E23" s="22">
        <v>2019765</v>
      </c>
      <c r="F23" s="22">
        <v>-17529</v>
      </c>
      <c r="G23" s="22">
        <v>-14203</v>
      </c>
      <c r="H23" s="22">
        <f>56041+19999</f>
        <v>76040</v>
      </c>
      <c r="I23" s="22">
        <v>0</v>
      </c>
      <c r="J23" s="65">
        <f t="shared" si="3"/>
        <v>1025416</v>
      </c>
      <c r="K23" s="22">
        <v>1312143</v>
      </c>
      <c r="L23" s="27">
        <f t="shared" si="1"/>
        <v>2337559</v>
      </c>
    </row>
    <row r="24" spans="1:16" x14ac:dyDescent="0.35">
      <c r="A24" s="62">
        <f t="shared" si="2"/>
        <v>6</v>
      </c>
      <c r="B24" s="36">
        <v>43586</v>
      </c>
      <c r="C24" s="22">
        <f t="shared" si="0"/>
        <v>4428748</v>
      </c>
      <c r="D24" s="22">
        <f t="shared" si="4"/>
        <v>1987944</v>
      </c>
      <c r="E24" s="22">
        <v>2019781</v>
      </c>
      <c r="F24" s="22">
        <v>-17721</v>
      </c>
      <c r="G24" s="22">
        <v>-14116</v>
      </c>
      <c r="H24" s="22">
        <f>11729+72981</f>
        <v>84710</v>
      </c>
      <c r="I24" s="22">
        <v>0</v>
      </c>
      <c r="J24" s="65">
        <f t="shared" si="3"/>
        <v>1025416</v>
      </c>
      <c r="K24" s="22">
        <v>1330678</v>
      </c>
      <c r="L24" s="27">
        <f t="shared" si="1"/>
        <v>2356094</v>
      </c>
    </row>
    <row r="25" spans="1:16" x14ac:dyDescent="0.35">
      <c r="A25" s="62">
        <f t="shared" si="2"/>
        <v>7</v>
      </c>
      <c r="B25" s="36">
        <v>43617</v>
      </c>
      <c r="C25" s="22">
        <f t="shared" si="0"/>
        <v>4443928</v>
      </c>
      <c r="D25" s="22">
        <f t="shared" si="4"/>
        <v>1987937</v>
      </c>
      <c r="E25" s="22">
        <v>2019798</v>
      </c>
      <c r="F25" s="22">
        <v>-17829</v>
      </c>
      <c r="G25" s="22">
        <v>-14032</v>
      </c>
      <c r="H25" s="22">
        <v>95954</v>
      </c>
      <c r="I25" s="22">
        <v>0</v>
      </c>
      <c r="J25" s="65">
        <f>425170-835+626081</f>
        <v>1050416</v>
      </c>
      <c r="K25" s="22">
        <v>1309621</v>
      </c>
      <c r="L25" s="27">
        <f t="shared" si="1"/>
        <v>2360037</v>
      </c>
    </row>
    <row r="26" spans="1:16" x14ac:dyDescent="0.35">
      <c r="A26" s="62">
        <f t="shared" si="2"/>
        <v>8</v>
      </c>
      <c r="B26" s="36">
        <v>43647</v>
      </c>
      <c r="C26" s="22">
        <f t="shared" si="0"/>
        <v>4459026</v>
      </c>
      <c r="D26" s="22">
        <f t="shared" si="4"/>
        <v>1988148</v>
      </c>
      <c r="E26" s="22">
        <v>2019815</v>
      </c>
      <c r="F26" s="22">
        <v>-17722</v>
      </c>
      <c r="G26" s="22">
        <v>-13945</v>
      </c>
      <c r="H26" s="22">
        <f>17593+61988</f>
        <v>79581</v>
      </c>
      <c r="I26" s="22">
        <v>0</v>
      </c>
      <c r="J26" s="65">
        <f t="shared" ref="J26:J31" si="5">425170-835+626081</f>
        <v>1050416</v>
      </c>
      <c r="K26" s="22">
        <v>1340881</v>
      </c>
      <c r="L26" s="27">
        <f t="shared" si="1"/>
        <v>2391297</v>
      </c>
    </row>
    <row r="27" spans="1:16" x14ac:dyDescent="0.35">
      <c r="A27" s="62">
        <f t="shared" si="2"/>
        <v>9</v>
      </c>
      <c r="B27" s="36">
        <v>43678</v>
      </c>
      <c r="C27" s="22">
        <f t="shared" si="0"/>
        <v>4453524</v>
      </c>
      <c r="D27" s="22">
        <f t="shared" si="4"/>
        <v>1948412</v>
      </c>
      <c r="E27" s="22">
        <v>1979831</v>
      </c>
      <c r="F27" s="22">
        <v>-17560</v>
      </c>
      <c r="G27" s="22">
        <v>-13859</v>
      </c>
      <c r="H27" s="22">
        <f>61809+26997</f>
        <v>88806</v>
      </c>
      <c r="I27" s="22">
        <v>0</v>
      </c>
      <c r="J27" s="65">
        <f t="shared" si="5"/>
        <v>1050416</v>
      </c>
      <c r="K27" s="22">
        <v>1365890</v>
      </c>
      <c r="L27" s="27">
        <f t="shared" si="1"/>
        <v>2416306</v>
      </c>
    </row>
    <row r="28" spans="1:16" x14ac:dyDescent="0.35">
      <c r="A28" s="62">
        <f t="shared" si="2"/>
        <v>10</v>
      </c>
      <c r="B28" s="36">
        <v>43709</v>
      </c>
      <c r="C28" s="22">
        <f t="shared" si="0"/>
        <v>4468291</v>
      </c>
      <c r="D28" s="22">
        <f t="shared" si="4"/>
        <v>1988400</v>
      </c>
      <c r="E28" s="22">
        <v>2019848</v>
      </c>
      <c r="F28" s="22">
        <v>-17673</v>
      </c>
      <c r="G28" s="22">
        <v>-13775</v>
      </c>
      <c r="H28" s="22">
        <v>98969</v>
      </c>
      <c r="I28" s="22">
        <v>0</v>
      </c>
      <c r="J28" s="65">
        <f t="shared" si="5"/>
        <v>1050416</v>
      </c>
      <c r="K28" s="22">
        <v>1330506</v>
      </c>
      <c r="L28" s="27">
        <f t="shared" si="1"/>
        <v>2380922</v>
      </c>
    </row>
    <row r="29" spans="1:16" x14ac:dyDescent="0.35">
      <c r="A29" s="62">
        <f t="shared" si="2"/>
        <v>11</v>
      </c>
      <c r="B29" s="36">
        <v>43739</v>
      </c>
      <c r="C29" s="22">
        <f t="shared" si="0"/>
        <v>4481944</v>
      </c>
      <c r="D29" s="22">
        <f t="shared" si="4"/>
        <v>1988629</v>
      </c>
      <c r="E29" s="22">
        <v>2019865</v>
      </c>
      <c r="F29" s="22">
        <v>-17548</v>
      </c>
      <c r="G29" s="22">
        <v>-13688</v>
      </c>
      <c r="H29" s="22">
        <f>12664+89794</f>
        <v>102458</v>
      </c>
      <c r="I29" s="22">
        <v>0</v>
      </c>
      <c r="J29" s="65">
        <f t="shared" si="5"/>
        <v>1050416</v>
      </c>
      <c r="K29" s="22">
        <v>1340441</v>
      </c>
      <c r="L29" s="27">
        <f t="shared" si="1"/>
        <v>2390857</v>
      </c>
    </row>
    <row r="30" spans="1:16" x14ac:dyDescent="0.35">
      <c r="A30" s="62">
        <f t="shared" si="2"/>
        <v>12</v>
      </c>
      <c r="B30" s="36">
        <v>43770</v>
      </c>
      <c r="C30" s="22">
        <f t="shared" si="0"/>
        <v>4544738</v>
      </c>
      <c r="D30" s="22">
        <f t="shared" si="4"/>
        <v>1988883</v>
      </c>
      <c r="E30" s="22">
        <v>2019881</v>
      </c>
      <c r="F30" s="22">
        <v>-17394</v>
      </c>
      <c r="G30" s="22">
        <v>-13604</v>
      </c>
      <c r="H30" s="22">
        <v>147300</v>
      </c>
      <c r="I30" s="22">
        <v>0</v>
      </c>
      <c r="J30" s="65">
        <f t="shared" si="5"/>
        <v>1050416</v>
      </c>
      <c r="K30" s="22">
        <v>1358139</v>
      </c>
      <c r="L30" s="27">
        <f t="shared" si="1"/>
        <v>2408555</v>
      </c>
    </row>
    <row r="31" spans="1:16" x14ac:dyDescent="0.35">
      <c r="A31" s="62">
        <f t="shared" si="2"/>
        <v>13</v>
      </c>
      <c r="B31" s="36">
        <v>43800</v>
      </c>
      <c r="C31" s="22">
        <f t="shared" si="0"/>
        <v>4601277</v>
      </c>
      <c r="D31" s="22">
        <f t="shared" si="4"/>
        <v>1989053</v>
      </c>
      <c r="E31" s="22">
        <v>2019898</v>
      </c>
      <c r="F31" s="22">
        <v>-17327</v>
      </c>
      <c r="G31" s="22">
        <v>-13518</v>
      </c>
      <c r="H31" s="22">
        <v>238410</v>
      </c>
      <c r="I31" s="22">
        <v>0</v>
      </c>
      <c r="J31" s="65">
        <f t="shared" si="5"/>
        <v>1050416</v>
      </c>
      <c r="K31" s="22">
        <v>1323398</v>
      </c>
      <c r="L31" s="27">
        <f t="shared" si="1"/>
        <v>2373814</v>
      </c>
    </row>
    <row r="32" spans="1:16" x14ac:dyDescent="0.35">
      <c r="A32" s="62">
        <f t="shared" si="2"/>
        <v>14</v>
      </c>
      <c r="B32" s="41" t="s">
        <v>43</v>
      </c>
      <c r="C32" s="42">
        <f>SUM(D32:K32)</f>
        <v>57845576</v>
      </c>
      <c r="D32" s="42">
        <f>SUM(D19:D31)</f>
        <v>25026327</v>
      </c>
      <c r="E32" s="42"/>
      <c r="F32" s="42"/>
      <c r="G32" s="42"/>
      <c r="H32" s="42">
        <f>SUM(H19:H31)</f>
        <v>2106963</v>
      </c>
      <c r="I32" s="42">
        <f>SUM(I19:I31)</f>
        <v>0</v>
      </c>
      <c r="J32" s="42">
        <f>SUM(J19:J31)</f>
        <v>13505408</v>
      </c>
      <c r="K32" s="42">
        <f>SUM(K19:K31)</f>
        <v>17206878</v>
      </c>
      <c r="L32" s="66">
        <f>SUM(J32:K32)</f>
        <v>30712286</v>
      </c>
    </row>
    <row r="33" spans="1:15" x14ac:dyDescent="0.35">
      <c r="A33" s="62">
        <f t="shared" si="2"/>
        <v>15</v>
      </c>
      <c r="B33" s="28" t="s">
        <v>44</v>
      </c>
      <c r="C33" s="22">
        <f>SUM(D33:K33)</f>
        <v>4449660</v>
      </c>
      <c r="D33" s="22">
        <f t="shared" ref="D33:L33" si="6">ROUND(D32/COUNT(D19:D31),0)</f>
        <v>1925102</v>
      </c>
      <c r="E33" s="22"/>
      <c r="F33" s="22"/>
      <c r="G33" s="22"/>
      <c r="H33" s="22">
        <f t="shared" si="6"/>
        <v>162074</v>
      </c>
      <c r="I33" s="22">
        <f t="shared" si="6"/>
        <v>0</v>
      </c>
      <c r="J33" s="22">
        <f t="shared" si="6"/>
        <v>1038878</v>
      </c>
      <c r="K33" s="22">
        <f t="shared" si="6"/>
        <v>1323606</v>
      </c>
      <c r="L33" s="22">
        <f t="shared" si="6"/>
        <v>2362484</v>
      </c>
    </row>
    <row r="34" spans="1:15" x14ac:dyDescent="0.35">
      <c r="A34" s="62">
        <f t="shared" si="2"/>
        <v>16</v>
      </c>
      <c r="B34" s="43" t="s">
        <v>45</v>
      </c>
      <c r="C34" s="44"/>
      <c r="D34" s="45">
        <f t="shared" ref="D34:L34" si="7">D33/$C$33</f>
        <v>0.43264024667053214</v>
      </c>
      <c r="E34" s="45"/>
      <c r="F34" s="45"/>
      <c r="G34" s="45"/>
      <c r="H34" s="45">
        <f t="shared" si="7"/>
        <v>3.6423906545668655E-2</v>
      </c>
      <c r="I34" s="45">
        <f t="shared" si="7"/>
        <v>0</v>
      </c>
      <c r="J34" s="45">
        <f t="shared" si="7"/>
        <v>0.23347356876705186</v>
      </c>
      <c r="K34" s="45">
        <f t="shared" si="7"/>
        <v>0.29746227801674735</v>
      </c>
      <c r="L34" s="45">
        <f t="shared" si="7"/>
        <v>0.53093584678379924</v>
      </c>
    </row>
    <row r="35" spans="1:15" x14ac:dyDescent="0.35">
      <c r="A35" s="62">
        <f t="shared" si="2"/>
        <v>17</v>
      </c>
      <c r="B35" s="28" t="s">
        <v>46</v>
      </c>
      <c r="C35" s="22"/>
      <c r="D35" s="39">
        <f>D31/$C$31</f>
        <v>0.43228282061697221</v>
      </c>
      <c r="E35" s="39"/>
      <c r="F35" s="39"/>
      <c r="G35" s="39"/>
      <c r="H35" s="39">
        <f>H31/$C$31</f>
        <v>5.1813876886785994E-2</v>
      </c>
      <c r="I35" s="39">
        <f>I31/$C$31</f>
        <v>0</v>
      </c>
      <c r="J35" s="39">
        <f>J31/$C$31</f>
        <v>0.22828792963344741</v>
      </c>
      <c r="K35" s="39">
        <f>K31/$C$31</f>
        <v>0.28761537286279437</v>
      </c>
      <c r="L35" s="39">
        <f>L31/$C$31</f>
        <v>0.51590330249624183</v>
      </c>
    </row>
    <row r="36" spans="1:15" x14ac:dyDescent="0.35">
      <c r="L36" s="62"/>
    </row>
    <row r="37" spans="1:15" x14ac:dyDescent="0.35">
      <c r="L37" s="62"/>
    </row>
    <row r="38" spans="1:15" x14ac:dyDescent="0.35">
      <c r="A38" s="23" t="s">
        <v>56</v>
      </c>
      <c r="O38" s="79"/>
    </row>
    <row r="39" spans="1:15" ht="17.25" customHeight="1" x14ac:dyDescent="0.35">
      <c r="O39" s="79"/>
    </row>
    <row r="40" spans="1:15" x14ac:dyDescent="0.35">
      <c r="O40" s="79"/>
    </row>
    <row r="41" spans="1:15" ht="12.75" customHeight="1" x14ac:dyDescent="0.35">
      <c r="M41" s="80"/>
      <c r="N41" s="80"/>
      <c r="O41" s="79"/>
    </row>
    <row r="42" spans="1:15" x14ac:dyDescent="0.35">
      <c r="B42" s="29"/>
      <c r="M42" s="80"/>
      <c r="N42" s="80"/>
      <c r="O42" s="79"/>
    </row>
    <row r="43" spans="1:15" x14ac:dyDescent="0.35">
      <c r="M43" s="80"/>
      <c r="N43" s="80"/>
      <c r="O43" s="79"/>
    </row>
    <row r="44" spans="1:15" x14ac:dyDescent="0.35">
      <c r="M44" s="80"/>
      <c r="N44" s="80"/>
      <c r="O44" s="79"/>
    </row>
    <row r="45" spans="1:15" x14ac:dyDescent="0.35">
      <c r="M45" s="80"/>
      <c r="N45" s="80"/>
      <c r="O45" s="79"/>
    </row>
    <row r="46" spans="1:15" x14ac:dyDescent="0.35">
      <c r="M46" s="80"/>
      <c r="N46" s="80"/>
      <c r="O46" s="79"/>
    </row>
    <row r="47" spans="1:15" x14ac:dyDescent="0.35">
      <c r="M47" s="80"/>
      <c r="N47" s="80"/>
      <c r="O47" s="79"/>
    </row>
    <row r="48" spans="1:15" x14ac:dyDescent="0.35">
      <c r="M48" s="80"/>
      <c r="N48" s="80"/>
      <c r="O48" s="79"/>
    </row>
    <row r="49" spans="13:15" x14ac:dyDescent="0.35">
      <c r="M49" s="80"/>
      <c r="N49" s="80"/>
      <c r="O49" s="79"/>
    </row>
    <row r="50" spans="13:15" x14ac:dyDescent="0.35">
      <c r="M50" s="80"/>
      <c r="N50" s="80"/>
      <c r="O50" s="79"/>
    </row>
    <row r="51" spans="13:15" x14ac:dyDescent="0.35">
      <c r="M51" s="80"/>
      <c r="N51" s="80"/>
      <c r="O51" s="79"/>
    </row>
    <row r="52" spans="13:15" x14ac:dyDescent="0.35">
      <c r="M52" s="80"/>
      <c r="N52" s="80"/>
      <c r="O52" s="79"/>
    </row>
    <row r="53" spans="13:15" x14ac:dyDescent="0.35">
      <c r="M53" s="80"/>
      <c r="N53" s="80"/>
      <c r="O53" s="79"/>
    </row>
  </sheetData>
  <mergeCells count="10">
    <mergeCell ref="A1:L1"/>
    <mergeCell ref="A8:L8"/>
    <mergeCell ref="A9:L9"/>
    <mergeCell ref="A10:L10"/>
    <mergeCell ref="O38:O53"/>
    <mergeCell ref="M41:M53"/>
    <mergeCell ref="N41:N53"/>
    <mergeCell ref="A4:L4"/>
    <mergeCell ref="A6:L6"/>
    <mergeCell ref="A2:L2"/>
  </mergeCells>
  <pageMargins left="1" right="1" top="1" bottom="1.75" header="0.5" footer="0.5"/>
  <pageSetup scale="67" fitToHeight="0" orientation="landscape" r:id="rId1"/>
  <headerFooter scaleWithDoc="0">
    <oddFooter xml:space="preserve">&amp;R&amp;"Times New Roman,Bold"&amp;12 Case No. 2020-00350
Attachment to Response to PSC-1 Question No. 22
Page &amp;P of &amp;N
Arbough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022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F86C433-70E7-4E98-95DA-E5CB7B3FAC63}"/>
</file>

<file path=customXml/itemProps2.xml><?xml version="1.0" encoding="utf-8"?>
<ds:datastoreItem xmlns:ds="http://schemas.openxmlformats.org/officeDocument/2006/customXml" ds:itemID="{EDD0438D-8AAF-42AB-88E6-FD1A1ED39D8C}"/>
</file>

<file path=customXml/itemProps3.xml><?xml version="1.0" encoding="utf-8"?>
<ds:datastoreItem xmlns:ds="http://schemas.openxmlformats.org/officeDocument/2006/customXml" ds:itemID="{729806BE-7213-4CF9-B44F-0529A7B0D1C0}"/>
</file>

<file path=customXml/itemProps4.xml><?xml version="1.0" encoding="utf-8"?>
<ds:datastoreItem xmlns:ds="http://schemas.openxmlformats.org/officeDocument/2006/customXml" ds:itemID="{F037FA1A-5EA9-4142-B510-7B989E314889}"/>
</file>

<file path=customXml/itemProps5.xml><?xml version="1.0" encoding="utf-8"?>
<ds:datastoreItem xmlns:ds="http://schemas.openxmlformats.org/officeDocument/2006/customXml" ds:itemID="{7C553251-5C63-4964-A3CA-979D32BE84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22 - LG&amp;E - Sched E1</vt:lpstr>
      <vt:lpstr>3 - LG&amp;E - Sched 1 LEC</vt:lpstr>
      <vt:lpstr>22 -  LG&amp;E - Sched E2</vt:lpstr>
      <vt:lpstr>'22 -  LG&amp;E - Sched E2'!Print_Area</vt:lpstr>
      <vt:lpstr>'22 - LG&amp;E - Sched E1'!Print_Area</vt:lpstr>
      <vt:lpstr>'3 - LG&amp;E - Sched 1 LEC'!Print_Area</vt:lpstr>
    </vt:vector>
  </TitlesOfParts>
  <Company>LG&amp;E Energy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E004977</dc:creator>
  <cp:lastModifiedBy>temp</cp:lastModifiedBy>
  <cp:lastPrinted>2020-12-02T21:06:02Z</cp:lastPrinted>
  <dcterms:created xsi:type="dcterms:W3CDTF">2004-01-15T01:46:41Z</dcterms:created>
  <dcterms:modified xsi:type="dcterms:W3CDTF">2020-12-04T13:59:04Z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2020-11-16T22:01:17Z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88a07fea-198a-4934-b82f-e036c59fea05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