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18199BD3-0F19-44DD-97E5-7FBD8D5A3F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SS-8 p1" sheetId="3" r:id="rId1"/>
    <sheet name="WSS-8 p2" sheetId="4" r:id="rId2"/>
    <sheet name="WSS-8 p3" sheetId="2" r:id="rId3"/>
    <sheet name="WSS-8 p4" sheetId="1" r:id="rId4"/>
  </sheets>
  <definedNames>
    <definedName name="_xlnm.Print_Area" localSheetId="0">'WSS-8 p1'!$A$2:$F$35</definedName>
    <definedName name="_xlnm.Print_Area" localSheetId="1">'WSS-8 p2'!$A$2:$F$35</definedName>
    <definedName name="_xlnm.Print_Area" localSheetId="2">'WSS-8 p3'!$A$2:$F$35</definedName>
    <definedName name="_xlnm.Print_Area" localSheetId="3">'WSS-8 p4'!$A$2:$F$35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G21" i="1"/>
  <c r="D25" i="1"/>
  <c r="D24" i="1"/>
  <c r="L30" i="1"/>
  <c r="K30" i="1"/>
  <c r="L30" i="2"/>
  <c r="D25" i="2"/>
  <c r="D24" i="2"/>
  <c r="D17" i="2"/>
  <c r="K30" i="2" l="1"/>
  <c r="L29" i="4" l="1"/>
  <c r="K29" i="4"/>
  <c r="L24" i="4"/>
  <c r="K24" i="4"/>
  <c r="K20" i="4"/>
  <c r="L16" i="4"/>
  <c r="K16" i="4"/>
  <c r="L13" i="4"/>
  <c r="K13" i="4"/>
  <c r="D25" i="4"/>
  <c r="D24" i="4"/>
  <c r="D25" i="3" l="1"/>
  <c r="D24" i="3"/>
  <c r="L29" i="3"/>
  <c r="K29" i="3"/>
  <c r="L12" i="3"/>
  <c r="L31" i="4" l="1"/>
  <c r="D13" i="4" s="1"/>
  <c r="K31" i="4"/>
  <c r="D12" i="4" s="1"/>
  <c r="G21" i="4"/>
  <c r="D19" i="4"/>
  <c r="L31" i="3"/>
  <c r="D13" i="3" s="1"/>
  <c r="K31" i="3"/>
  <c r="D12" i="3" s="1"/>
  <c r="D19" i="3"/>
  <c r="D14" i="4" l="1"/>
  <c r="E21" i="4" s="1"/>
  <c r="D14" i="3"/>
  <c r="E21" i="3" s="1"/>
  <c r="D26" i="4"/>
  <c r="D28" i="4" s="1"/>
  <c r="E30" i="4" s="1"/>
  <c r="D26" i="3"/>
  <c r="D28" i="3" s="1"/>
  <c r="E30" i="3" s="1"/>
  <c r="E32" i="3" l="1"/>
  <c r="E32" i="4"/>
  <c r="L32" i="1" l="1"/>
  <c r="D13" i="1" s="1"/>
  <c r="K32" i="1"/>
  <c r="D12" i="1" s="1"/>
  <c r="K32" i="2"/>
  <c r="D12" i="2" s="1"/>
  <c r="L32" i="2"/>
  <c r="D13" i="2" s="1"/>
  <c r="D26" i="2" l="1"/>
  <c r="D28" i="2" s="1"/>
  <c r="D19" i="2"/>
  <c r="D14" i="2"/>
  <c r="B25" i="1"/>
  <c r="B24" i="1"/>
  <c r="B18" i="1"/>
  <c r="B17" i="1"/>
  <c r="D14" i="1"/>
  <c r="D19" i="1"/>
  <c r="D26" i="1"/>
  <c r="D28" i="1" s="1"/>
  <c r="E21" i="1" l="1"/>
  <c r="E30" i="1"/>
  <c r="E21" i="2"/>
  <c r="E30" i="2"/>
  <c r="E32" i="1" l="1"/>
  <c r="E32" i="2"/>
</calcChain>
</file>

<file path=xl/sharedStrings.xml><?xml version="1.0" encoding="utf-8"?>
<sst xmlns="http://schemas.openxmlformats.org/spreadsheetml/2006/main" count="162" uniqueCount="43">
  <si>
    <t>Louisville Gas and Electric Company</t>
  </si>
  <si>
    <t>Distribution Demand Costs</t>
  </si>
  <si>
    <t>Primary Service</t>
  </si>
  <si>
    <t>Rate Base</t>
  </si>
  <si>
    <t>Total Cost</t>
  </si>
  <si>
    <t>Billing Demand</t>
  </si>
  <si>
    <t>Unit Cost</t>
  </si>
  <si>
    <t>Return</t>
  </si>
  <si>
    <t>Unit Return</t>
  </si>
  <si>
    <t>Capacity Charge</t>
  </si>
  <si>
    <t>Secondary Service</t>
  </si>
  <si>
    <t>Redundant Capacity</t>
  </si>
  <si>
    <t>Derivation of Distribution Demand-Related Cost for</t>
  </si>
  <si>
    <t>PSP</t>
  </si>
  <si>
    <t>PSS</t>
  </si>
  <si>
    <t>ROR</t>
  </si>
  <si>
    <t>/ KW</t>
  </si>
  <si>
    <t>TODS</t>
  </si>
  <si>
    <t xml:space="preserve">TODS </t>
  </si>
  <si>
    <t>TODP</t>
  </si>
  <si>
    <t>Reference for Distribution Demand Costs from COSS</t>
  </si>
  <si>
    <t>Substation O&amp;M</t>
  </si>
  <si>
    <t>Lines O&amp;M</t>
  </si>
  <si>
    <t>Transformer O&amp;M</t>
  </si>
  <si>
    <t>Substation Depreciation</t>
  </si>
  <si>
    <t>Lines Depreciation</t>
  </si>
  <si>
    <t>Transformer Depreciation</t>
  </si>
  <si>
    <t>Substation Prop Taxes</t>
  </si>
  <si>
    <t>Lines Prop Taxes</t>
  </si>
  <si>
    <t>Transformer Prop Taxes</t>
  </si>
  <si>
    <t>Less: Rent from Elec Prop</t>
  </si>
  <si>
    <t>Total</t>
  </si>
  <si>
    <t>Substation Amort of ITC</t>
  </si>
  <si>
    <t>Lines Amort of ITC</t>
  </si>
  <si>
    <t>Transformer Amort of ITC</t>
  </si>
  <si>
    <t>Plus Income Tax Exp Adjustment</t>
  </si>
  <si>
    <t>Plus Prop Insurance Exp Adjustment</t>
  </si>
  <si>
    <t>Kentucky Utilities Company</t>
  </si>
  <si>
    <t>Substation Other Taxes</t>
  </si>
  <si>
    <t>Lines Other Taxes</t>
  </si>
  <si>
    <t>Transformer Other Taxes</t>
  </si>
  <si>
    <t>Plus: Income Tax Exp Adjustment</t>
  </si>
  <si>
    <t>Based on the 12 Months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</si>
</sst>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10" fontId="2" fillId="0" borderId="0" xfId="5" applyNumberFormat="1" applyFont="1" applyAlignment="1">
      <alignment horizontal="center"/>
    </xf>
    <xf numFmtId="164" fontId="2" fillId="0" borderId="0" xfId="2" applyNumberFormat="1" applyFont="1"/>
    <xf numFmtId="44" fontId="2" fillId="0" borderId="0" xfId="2" applyFont="1" applyBorder="1"/>
    <xf numFmtId="44" fontId="2" fillId="0" borderId="2" xfId="0" applyNumberFormat="1" applyFont="1" applyBorder="1"/>
    <xf numFmtId="43" fontId="2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0" applyFont="1" applyFill="1"/>
    <xf numFmtId="164" fontId="2" fillId="0" borderId="0" xfId="3" applyNumberFormat="1" applyFont="1" applyFill="1"/>
    <xf numFmtId="165" fontId="2" fillId="0" borderId="1" xfId="1" applyNumberFormat="1" applyFont="1" applyFill="1" applyBorder="1"/>
    <xf numFmtId="164" fontId="2" fillId="0" borderId="0" xfId="0" applyNumberFormat="1" applyFont="1" applyFill="1"/>
    <xf numFmtId="165" fontId="2" fillId="0" borderId="0" xfId="1" applyNumberFormat="1" applyFont="1" applyFill="1"/>
    <xf numFmtId="164" fontId="2" fillId="0" borderId="0" xfId="2" applyNumberFormat="1" applyFont="1" applyFill="1"/>
    <xf numFmtId="0" fontId="2" fillId="0" borderId="0" xfId="0" quotePrefix="1" applyFont="1" applyFill="1" applyAlignment="1">
      <alignment horizontal="left"/>
    </xf>
    <xf numFmtId="164" fontId="2" fillId="0" borderId="0" xfId="4" applyNumberFormat="1" applyFont="1" applyFill="1"/>
    <xf numFmtId="164" fontId="2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0" xfId="6" applyFont="1"/>
    <xf numFmtId="0" fontId="2" fillId="0" borderId="0" xfId="6" applyFont="1"/>
    <xf numFmtId="0" fontId="4" fillId="0" borderId="0" xfId="6" applyFont="1"/>
    <xf numFmtId="164" fontId="2" fillId="0" borderId="0" xfId="6" applyNumberFormat="1" applyFont="1" applyFill="1"/>
    <xf numFmtId="0" fontId="2" fillId="0" borderId="0" xfId="6" applyFont="1" applyAlignment="1">
      <alignment horizontal="right"/>
    </xf>
    <xf numFmtId="164" fontId="2" fillId="0" borderId="1" xfId="4" applyNumberFormat="1" applyFont="1" applyFill="1" applyBorder="1"/>
    <xf numFmtId="0" fontId="2" fillId="0" borderId="0" xfId="6" applyFont="1" applyAlignment="1">
      <alignment horizontal="center"/>
    </xf>
    <xf numFmtId="164" fontId="2" fillId="0" borderId="0" xfId="6" applyNumberFormat="1" applyFont="1"/>
    <xf numFmtId="44" fontId="2" fillId="0" borderId="2" xfId="6" applyNumberFormat="1" applyFont="1" applyBorder="1"/>
    <xf numFmtId="0" fontId="2" fillId="0" borderId="0" xfId="6" quotePrefix="1" applyFont="1" applyAlignment="1">
      <alignment horizontal="left"/>
    </xf>
    <xf numFmtId="0" fontId="2" fillId="0" borderId="0" xfId="6" quotePrefix="1" applyFont="1" applyFill="1" applyAlignment="1">
      <alignment horizontal="left"/>
    </xf>
    <xf numFmtId="0" fontId="2" fillId="0" borderId="0" xfId="6" applyFont="1" applyFill="1"/>
    <xf numFmtId="0" fontId="3" fillId="0" borderId="0" xfId="6" quotePrefix="1" applyFont="1" applyAlignment="1">
      <alignment horizontal="left"/>
    </xf>
    <xf numFmtId="164" fontId="5" fillId="0" borderId="0" xfId="2" applyNumberFormat="1" applyFont="1" applyFill="1"/>
    <xf numFmtId="164" fontId="5" fillId="0" borderId="0" xfId="4" applyNumberFormat="1" applyFont="1" applyFill="1"/>
    <xf numFmtId="0" fontId="2" fillId="0" borderId="0" xfId="6" applyFont="1" applyBorder="1"/>
  </cellXfs>
  <cellStyles count="7">
    <cellStyle name="Comma" xfId="1" builtinId="3"/>
    <cellStyle name="Currency" xfId="2" builtinId="4"/>
    <cellStyle name="Normal" xfId="0" builtinId="0"/>
    <cellStyle name="Normal 2" xfId="6" xr:uid="{590E82EC-7F6E-4C2C-944B-25BEBF9B780C}"/>
    <cellStyle name="Normal_Secondary" xfId="3" xr:uid="{00000000-0005-0000-0000-000003000000}"/>
    <cellStyle name="Normal_Sheet1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9BE9-CC46-43EF-84DE-A68C0C691869}">
  <sheetPr>
    <tabColor rgb="FF92D050"/>
  </sheetPr>
  <dimension ref="A2:L35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3" width="9.140625" style="24"/>
    <col min="4" max="4" width="14.7109375" style="24" customWidth="1"/>
    <col min="5" max="5" width="12.85546875" style="24" bestFit="1" customWidth="1"/>
    <col min="6" max="8" width="9.140625" style="24"/>
    <col min="9" max="9" width="18" style="24" customWidth="1"/>
    <col min="10" max="10" width="3.5703125" style="24" customWidth="1"/>
    <col min="11" max="11" width="14" style="24" bestFit="1" customWidth="1"/>
    <col min="12" max="12" width="11.42578125" style="24" bestFit="1" customWidth="1"/>
    <col min="13" max="16384" width="9.140625" style="24"/>
  </cols>
  <sheetData>
    <row r="2" spans="1:12" x14ac:dyDescent="0.25">
      <c r="A2" s="23" t="s">
        <v>37</v>
      </c>
    </row>
    <row r="3" spans="1:12" x14ac:dyDescent="0.25">
      <c r="A3" s="24" t="s">
        <v>12</v>
      </c>
    </row>
    <row r="4" spans="1:12" x14ac:dyDescent="0.25">
      <c r="A4" s="24" t="s">
        <v>11</v>
      </c>
    </row>
    <row r="5" spans="1:12" x14ac:dyDescent="0.25">
      <c r="A5" s="24" t="s">
        <v>42</v>
      </c>
    </row>
    <row r="9" spans="1:12" x14ac:dyDescent="0.25">
      <c r="A9" s="25" t="s">
        <v>10</v>
      </c>
      <c r="I9" s="24" t="s">
        <v>20</v>
      </c>
    </row>
    <row r="11" spans="1:12" x14ac:dyDescent="0.25">
      <c r="A11" s="24" t="s">
        <v>1</v>
      </c>
      <c r="K11" s="20" t="s">
        <v>14</v>
      </c>
      <c r="L11" s="20" t="s">
        <v>17</v>
      </c>
    </row>
    <row r="12" spans="1:12" x14ac:dyDescent="0.25">
      <c r="B12" s="24" t="s">
        <v>14</v>
      </c>
      <c r="D12" s="26">
        <f>K31</f>
        <v>4721892.9102882221</v>
      </c>
      <c r="I12" s="27" t="s">
        <v>21</v>
      </c>
      <c r="K12" s="20">
        <v>1026540.8400879295</v>
      </c>
      <c r="L12" s="20">
        <f>908145</f>
        <v>908145</v>
      </c>
    </row>
    <row r="13" spans="1:12" x14ac:dyDescent="0.25">
      <c r="B13" s="24" t="s">
        <v>17</v>
      </c>
      <c r="D13" s="28">
        <f>L31</f>
        <v>4144727.6308551729</v>
      </c>
      <c r="I13" s="27" t="s">
        <v>22</v>
      </c>
      <c r="K13" s="20">
        <v>1433567</v>
      </c>
      <c r="L13" s="20">
        <v>1268226</v>
      </c>
    </row>
    <row r="14" spans="1:12" x14ac:dyDescent="0.25">
      <c r="B14" s="24" t="s">
        <v>4</v>
      </c>
      <c r="D14" s="26">
        <f>SUM(D12:D13)</f>
        <v>8866620.541143395</v>
      </c>
      <c r="I14" s="27" t="s">
        <v>23</v>
      </c>
      <c r="K14" s="20">
        <v>249489</v>
      </c>
      <c r="L14" s="20">
        <v>212926</v>
      </c>
    </row>
    <row r="15" spans="1:12" x14ac:dyDescent="0.25">
      <c r="I15" s="27"/>
      <c r="K15" s="20"/>
      <c r="L15" s="20"/>
    </row>
    <row r="16" spans="1:12" x14ac:dyDescent="0.25">
      <c r="A16" s="24" t="s">
        <v>5</v>
      </c>
      <c r="I16" s="27" t="s">
        <v>24</v>
      </c>
      <c r="K16" s="20">
        <v>813197</v>
      </c>
      <c r="L16" s="20">
        <v>719407</v>
      </c>
    </row>
    <row r="17" spans="1:12" x14ac:dyDescent="0.25">
      <c r="B17" s="24" t="s">
        <v>14</v>
      </c>
      <c r="D17" s="16">
        <v>5272876</v>
      </c>
      <c r="I17" s="27" t="s">
        <v>25</v>
      </c>
      <c r="K17" s="20">
        <v>646779</v>
      </c>
      <c r="L17" s="20">
        <v>572183</v>
      </c>
    </row>
    <row r="18" spans="1:12" x14ac:dyDescent="0.25">
      <c r="B18" s="24" t="s">
        <v>17</v>
      </c>
      <c r="D18" s="14">
        <v>6217429.6823317157</v>
      </c>
      <c r="I18" s="27" t="s">
        <v>26</v>
      </c>
      <c r="K18" s="20">
        <v>361587</v>
      </c>
      <c r="L18" s="20">
        <v>308596</v>
      </c>
    </row>
    <row r="19" spans="1:12" x14ac:dyDescent="0.25">
      <c r="B19" s="24" t="s">
        <v>4</v>
      </c>
      <c r="D19" s="16">
        <f>SUM(D17:D18)</f>
        <v>11490305.682331715</v>
      </c>
      <c r="I19" s="27"/>
      <c r="K19" s="20"/>
      <c r="L19" s="20"/>
    </row>
    <row r="20" spans="1:12" x14ac:dyDescent="0.25">
      <c r="G20" s="29" t="s">
        <v>15</v>
      </c>
      <c r="I20" s="27" t="s">
        <v>27</v>
      </c>
      <c r="K20" s="20">
        <v>145779</v>
      </c>
      <c r="L20" s="20">
        <v>128966</v>
      </c>
    </row>
    <row r="21" spans="1:12" x14ac:dyDescent="0.25">
      <c r="A21" s="24" t="s">
        <v>6</v>
      </c>
      <c r="E21" s="5">
        <f>D14/D19</f>
        <v>0.77166097980990367</v>
      </c>
      <c r="G21" s="6">
        <v>7.2599999999999998E-2</v>
      </c>
      <c r="I21" s="27" t="s">
        <v>28</v>
      </c>
      <c r="K21" s="20">
        <v>115946</v>
      </c>
      <c r="L21" s="20">
        <v>102573</v>
      </c>
    </row>
    <row r="22" spans="1:12" x14ac:dyDescent="0.25">
      <c r="I22" s="27" t="s">
        <v>29</v>
      </c>
      <c r="K22" s="20">
        <v>64821</v>
      </c>
      <c r="L22" s="20">
        <v>55321</v>
      </c>
    </row>
    <row r="23" spans="1:12" x14ac:dyDescent="0.25">
      <c r="A23" s="24" t="s">
        <v>3</v>
      </c>
      <c r="I23" s="27"/>
      <c r="K23" s="20"/>
      <c r="L23" s="20"/>
    </row>
    <row r="24" spans="1:12" x14ac:dyDescent="0.25">
      <c r="B24" s="24" t="s">
        <v>14</v>
      </c>
      <c r="D24" s="19">
        <f>22154702+17671947+9819158</f>
        <v>49645807</v>
      </c>
      <c r="I24" s="27" t="s">
        <v>38</v>
      </c>
      <c r="K24" s="20">
        <v>55402</v>
      </c>
      <c r="L24" s="20">
        <v>49013</v>
      </c>
    </row>
    <row r="25" spans="1:12" x14ac:dyDescent="0.25">
      <c r="B25" s="24" t="s">
        <v>17</v>
      </c>
      <c r="D25" s="28">
        <f>19599486+15633750+8380130</f>
        <v>43613366</v>
      </c>
      <c r="I25" s="27" t="s">
        <v>39</v>
      </c>
      <c r="K25" s="20">
        <v>44064</v>
      </c>
      <c r="L25" s="20">
        <v>38982</v>
      </c>
    </row>
    <row r="26" spans="1:12" x14ac:dyDescent="0.25">
      <c r="B26" s="24" t="s">
        <v>4</v>
      </c>
      <c r="D26" s="17">
        <f>SUM(D24:D25)</f>
        <v>93259173</v>
      </c>
      <c r="I26" s="27" t="s">
        <v>40</v>
      </c>
      <c r="K26" s="20">
        <v>24635</v>
      </c>
      <c r="L26" s="20">
        <v>21024</v>
      </c>
    </row>
    <row r="27" spans="1:12" x14ac:dyDescent="0.25">
      <c r="I27" s="27"/>
      <c r="K27" s="20"/>
      <c r="L27" s="20"/>
    </row>
    <row r="28" spans="1:12" x14ac:dyDescent="0.25">
      <c r="A28" s="24" t="s">
        <v>7</v>
      </c>
      <c r="D28" s="7">
        <f>D26*G21</f>
        <v>6770615.9597999994</v>
      </c>
      <c r="I28" s="27" t="s">
        <v>41</v>
      </c>
      <c r="K28" s="7">
        <v>0</v>
      </c>
      <c r="L28" s="7">
        <v>0</v>
      </c>
    </row>
    <row r="29" spans="1:12" x14ac:dyDescent="0.25">
      <c r="I29" s="27" t="s">
        <v>30</v>
      </c>
      <c r="K29" s="20">
        <f>-259913.929799708</f>
        <v>-259913.92979970801</v>
      </c>
      <c r="L29" s="20">
        <f>-240634.369144827</f>
        <v>-240634.36914482701</v>
      </c>
    </row>
    <row r="30" spans="1:12" x14ac:dyDescent="0.25">
      <c r="A30" s="24" t="s">
        <v>8</v>
      </c>
      <c r="E30" s="8">
        <f>D28/D19</f>
        <v>0.58924593887967358</v>
      </c>
    </row>
    <row r="31" spans="1:12" x14ac:dyDescent="0.25">
      <c r="I31" s="27" t="s">
        <v>31</v>
      </c>
      <c r="K31" s="30">
        <f>SUM(K12:K29)</f>
        <v>4721892.9102882221</v>
      </c>
      <c r="L31" s="30">
        <f>SUM(L12:L29)</f>
        <v>4144727.6308551729</v>
      </c>
    </row>
    <row r="32" spans="1:12" ht="15.75" thickBot="1" x14ac:dyDescent="0.3">
      <c r="A32" s="24" t="s">
        <v>9</v>
      </c>
      <c r="E32" s="31">
        <f>E21+E30</f>
        <v>1.3609069186895772</v>
      </c>
      <c r="F32" s="32" t="s">
        <v>16</v>
      </c>
    </row>
    <row r="33" spans="2:4" ht="15.75" thickTop="1" x14ac:dyDescent="0.25"/>
    <row r="35" spans="2:4" x14ac:dyDescent="0.25">
      <c r="B35" s="33"/>
      <c r="C35" s="34"/>
      <c r="D35" s="34"/>
    </row>
  </sheetData>
  <printOptions horizontalCentered="1"/>
  <pageMargins left="1" right="1" top="1" bottom="1" header="0.5" footer="0.5"/>
  <pageSetup orientation="portrait" r:id="rId1"/>
  <headerFooter>
    <oddHeader>&amp;R&amp;"Times New Roman,Bold"&amp;12Exhibit WSS-8
Page 1 of 4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AD24-E0DE-4DAD-806F-3029669E6704}">
  <sheetPr>
    <tabColor rgb="FF92D050"/>
  </sheetPr>
  <dimension ref="A2:L35"/>
  <sheetViews>
    <sheetView view="pageBreakPreview" zoomScaleNormal="100" zoomScaleSheetLayoutView="100" zoomScalePageLayoutView="90" workbookViewId="0"/>
  </sheetViews>
  <sheetFormatPr defaultColWidth="9.140625" defaultRowHeight="15" x14ac:dyDescent="0.25"/>
  <cols>
    <col min="1" max="3" width="9.140625" style="24"/>
    <col min="4" max="4" width="14.7109375" style="24" customWidth="1"/>
    <col min="5" max="5" width="12.85546875" style="24" bestFit="1" customWidth="1"/>
    <col min="6" max="8" width="9.140625" style="24"/>
    <col min="9" max="9" width="16.140625" style="24" customWidth="1"/>
    <col min="10" max="10" width="9.140625" style="24"/>
    <col min="11" max="11" width="11.28515625" style="24" bestFit="1" customWidth="1"/>
    <col min="12" max="12" width="11.42578125" style="24" bestFit="1" customWidth="1"/>
    <col min="13" max="16384" width="9.140625" style="24"/>
  </cols>
  <sheetData>
    <row r="2" spans="1:12" x14ac:dyDescent="0.25">
      <c r="A2" s="35" t="s">
        <v>37</v>
      </c>
    </row>
    <row r="3" spans="1:12" x14ac:dyDescent="0.25">
      <c r="A3" s="24" t="s">
        <v>12</v>
      </c>
    </row>
    <row r="4" spans="1:12" x14ac:dyDescent="0.25">
      <c r="A4" s="24" t="s">
        <v>11</v>
      </c>
    </row>
    <row r="5" spans="1:12" x14ac:dyDescent="0.25">
      <c r="A5" s="24" t="s">
        <v>42</v>
      </c>
    </row>
    <row r="9" spans="1:12" x14ac:dyDescent="0.25">
      <c r="A9" s="25" t="s">
        <v>2</v>
      </c>
      <c r="I9" s="24" t="s">
        <v>20</v>
      </c>
    </row>
    <row r="11" spans="1:12" x14ac:dyDescent="0.25">
      <c r="A11" s="24" t="s">
        <v>1</v>
      </c>
      <c r="K11" s="20" t="s">
        <v>13</v>
      </c>
      <c r="L11" s="20" t="s">
        <v>19</v>
      </c>
    </row>
    <row r="12" spans="1:12" x14ac:dyDescent="0.25">
      <c r="B12" s="24" t="s">
        <v>13</v>
      </c>
      <c r="D12" s="17">
        <f>K31</f>
        <v>172705.63698175835</v>
      </c>
      <c r="I12" s="27" t="s">
        <v>21</v>
      </c>
      <c r="K12" s="20">
        <v>44111.297778405555</v>
      </c>
      <c r="L12" s="20">
        <v>1479035.964324371</v>
      </c>
    </row>
    <row r="13" spans="1:12" ht="17.25" x14ac:dyDescent="0.4">
      <c r="B13" s="32" t="s">
        <v>19</v>
      </c>
      <c r="D13" s="36">
        <f>L31</f>
        <v>5548170.2789015211</v>
      </c>
      <c r="I13" s="27" t="s">
        <v>22</v>
      </c>
      <c r="K13" s="20">
        <f>61602</f>
        <v>61602</v>
      </c>
      <c r="L13" s="20">
        <f>2065477</f>
        <v>2065477</v>
      </c>
    </row>
    <row r="14" spans="1:12" x14ac:dyDescent="0.25">
      <c r="B14" s="24" t="s">
        <v>4</v>
      </c>
      <c r="D14" s="17">
        <f>SUM(D12:D13)</f>
        <v>5720875.9158832794</v>
      </c>
      <c r="I14" s="27" t="s">
        <v>23</v>
      </c>
      <c r="K14" s="20">
        <v>0</v>
      </c>
      <c r="L14" s="20">
        <v>0</v>
      </c>
    </row>
    <row r="15" spans="1:12" x14ac:dyDescent="0.25">
      <c r="I15" s="27"/>
      <c r="K15" s="20"/>
      <c r="L15" s="20"/>
    </row>
    <row r="16" spans="1:12" x14ac:dyDescent="0.25">
      <c r="A16" s="24" t="s">
        <v>5</v>
      </c>
      <c r="I16" s="27" t="s">
        <v>24</v>
      </c>
      <c r="K16" s="20">
        <f>34944</f>
        <v>34944</v>
      </c>
      <c r="L16" s="20">
        <f>1171651</f>
        <v>1171651</v>
      </c>
    </row>
    <row r="17" spans="1:12" x14ac:dyDescent="0.25">
      <c r="B17" s="24" t="s">
        <v>13</v>
      </c>
      <c r="D17" s="16">
        <v>301512</v>
      </c>
      <c r="I17" s="27" t="s">
        <v>25</v>
      </c>
      <c r="K17" s="20">
        <v>27793</v>
      </c>
      <c r="L17" s="20">
        <v>931877</v>
      </c>
    </row>
    <row r="18" spans="1:12" x14ac:dyDescent="0.25">
      <c r="B18" s="32" t="s">
        <v>19</v>
      </c>
      <c r="D18" s="14">
        <v>10620000</v>
      </c>
      <c r="I18" s="27" t="s">
        <v>26</v>
      </c>
      <c r="K18" s="20">
        <v>0</v>
      </c>
      <c r="L18" s="20">
        <v>0</v>
      </c>
    </row>
    <row r="19" spans="1:12" x14ac:dyDescent="0.25">
      <c r="B19" s="24" t="s">
        <v>4</v>
      </c>
      <c r="D19" s="16">
        <f>SUM(D17:D18)</f>
        <v>10921512</v>
      </c>
      <c r="I19" s="27"/>
      <c r="K19" s="20"/>
      <c r="L19" s="20"/>
    </row>
    <row r="20" spans="1:12" x14ac:dyDescent="0.25">
      <c r="G20" s="29" t="s">
        <v>15</v>
      </c>
      <c r="I20" s="27" t="s">
        <v>27</v>
      </c>
      <c r="K20" s="20">
        <f>6264</f>
        <v>6264</v>
      </c>
      <c r="L20" s="20">
        <v>128966</v>
      </c>
    </row>
    <row r="21" spans="1:12" x14ac:dyDescent="0.25">
      <c r="A21" s="24" t="s">
        <v>6</v>
      </c>
      <c r="E21" s="5">
        <f>D14/D19</f>
        <v>0.52381720735034487</v>
      </c>
      <c r="G21" s="6">
        <f>'WSS-8 p1'!G21</f>
        <v>7.2599999999999998E-2</v>
      </c>
      <c r="I21" s="27" t="s">
        <v>28</v>
      </c>
      <c r="K21" s="20">
        <v>4982</v>
      </c>
      <c r="L21" s="20">
        <v>102573</v>
      </c>
    </row>
    <row r="22" spans="1:12" x14ac:dyDescent="0.25">
      <c r="I22" s="27" t="s">
        <v>29</v>
      </c>
      <c r="K22" s="20">
        <v>0</v>
      </c>
      <c r="L22" s="20">
        <v>0</v>
      </c>
    </row>
    <row r="23" spans="1:12" x14ac:dyDescent="0.25">
      <c r="A23" s="24" t="s">
        <v>3</v>
      </c>
      <c r="I23" s="27"/>
      <c r="K23" s="20"/>
      <c r="L23" s="20"/>
    </row>
    <row r="24" spans="1:12" x14ac:dyDescent="0.25">
      <c r="B24" s="24" t="s">
        <v>13</v>
      </c>
      <c r="D24" s="19">
        <f>952006+759378</f>
        <v>1711384</v>
      </c>
      <c r="I24" s="27" t="s">
        <v>38</v>
      </c>
      <c r="K24" s="20">
        <f>2381</f>
        <v>2381</v>
      </c>
      <c r="L24" s="20">
        <f>49013</f>
        <v>49013</v>
      </c>
    </row>
    <row r="25" spans="1:12" ht="17.25" x14ac:dyDescent="0.4">
      <c r="B25" s="32" t="s">
        <v>19</v>
      </c>
      <c r="D25" s="37">
        <f>31920406+25461670</f>
        <v>57382076</v>
      </c>
      <c r="I25" s="27" t="s">
        <v>39</v>
      </c>
      <c r="K25" s="20">
        <v>1893</v>
      </c>
      <c r="L25" s="20">
        <v>38982</v>
      </c>
    </row>
    <row r="26" spans="1:12" x14ac:dyDescent="0.25">
      <c r="B26" s="24" t="s">
        <v>4</v>
      </c>
      <c r="D26" s="17">
        <f>SUM(D24:D25)</f>
        <v>59093460</v>
      </c>
      <c r="I26" s="27" t="s">
        <v>40</v>
      </c>
      <c r="K26" s="20">
        <v>0</v>
      </c>
      <c r="L26" s="20">
        <v>0</v>
      </c>
    </row>
    <row r="27" spans="1:12" x14ac:dyDescent="0.25">
      <c r="I27" s="27"/>
      <c r="K27" s="20"/>
      <c r="L27" s="20"/>
    </row>
    <row r="28" spans="1:12" x14ac:dyDescent="0.25">
      <c r="A28" s="24" t="s">
        <v>7</v>
      </c>
      <c r="D28" s="7">
        <f>D26*G21</f>
        <v>4290185.1959999995</v>
      </c>
      <c r="I28" s="27" t="s">
        <v>41</v>
      </c>
      <c r="K28" s="7">
        <v>0</v>
      </c>
      <c r="L28" s="7">
        <v>0</v>
      </c>
    </row>
    <row r="29" spans="1:12" x14ac:dyDescent="0.25">
      <c r="I29" s="27" t="s">
        <v>30</v>
      </c>
      <c r="K29" s="20">
        <f>-11264.6607966472</f>
        <v>-11264.6607966472</v>
      </c>
      <c r="L29" s="20">
        <f>-419404.68542285</f>
        <v>-419404.68542285002</v>
      </c>
    </row>
    <row r="30" spans="1:12" x14ac:dyDescent="0.25">
      <c r="A30" s="24" t="s">
        <v>8</v>
      </c>
      <c r="E30" s="8">
        <f>D28/D19</f>
        <v>0.39281971177617159</v>
      </c>
    </row>
    <row r="31" spans="1:12" x14ac:dyDescent="0.25">
      <c r="E31" s="38"/>
      <c r="I31" s="27" t="s">
        <v>31</v>
      </c>
      <c r="K31" s="30">
        <f>SUM(K12:K29)</f>
        <v>172705.63698175835</v>
      </c>
      <c r="L31" s="30">
        <f>SUM(L12:L29)</f>
        <v>5548170.2789015211</v>
      </c>
    </row>
    <row r="32" spans="1:12" ht="15.75" thickBot="1" x14ac:dyDescent="0.3">
      <c r="A32" s="24" t="s">
        <v>9</v>
      </c>
      <c r="E32" s="31">
        <f>E21+E30</f>
        <v>0.91663691912651646</v>
      </c>
      <c r="F32" s="32" t="s">
        <v>16</v>
      </c>
    </row>
    <row r="33" spans="2:4" ht="15.75" thickTop="1" x14ac:dyDescent="0.25"/>
    <row r="35" spans="2:4" x14ac:dyDescent="0.25">
      <c r="B35" s="33"/>
      <c r="C35" s="34"/>
      <c r="D35" s="34"/>
    </row>
  </sheetData>
  <printOptions horizontalCentered="1"/>
  <pageMargins left="1" right="1" top="1" bottom="1" header="0.5" footer="0.75"/>
  <pageSetup orientation="portrait" r:id="rId1"/>
  <headerFooter>
    <oddHeader>&amp;R&amp;"Times New Roman,Bold"&amp;12Exhibit WSS-8
Page 2 of 4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L35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3.28515625" style="2" customWidth="1"/>
    <col min="2" max="2" width="9.140625" style="2"/>
    <col min="3" max="3" width="9.7109375" style="2" customWidth="1"/>
    <col min="4" max="4" width="14.7109375" style="2" customWidth="1"/>
    <col min="5" max="5" width="12.85546875" style="2" bestFit="1" customWidth="1"/>
    <col min="6" max="8" width="9.140625" style="2"/>
    <col min="9" max="9" width="16.7109375" style="2" customWidth="1"/>
    <col min="10" max="10" width="4.28515625" style="2" customWidth="1"/>
    <col min="11" max="12" width="11.42578125" style="2" bestFit="1" customWidth="1"/>
    <col min="13" max="16384" width="9.140625" style="2"/>
  </cols>
  <sheetData>
    <row r="2" spans="1:12" x14ac:dyDescent="0.25">
      <c r="A2" s="1" t="s">
        <v>0</v>
      </c>
    </row>
    <row r="3" spans="1:12" x14ac:dyDescent="0.25">
      <c r="A3" s="2" t="s">
        <v>12</v>
      </c>
    </row>
    <row r="4" spans="1:12" x14ac:dyDescent="0.25">
      <c r="A4" s="2" t="s">
        <v>11</v>
      </c>
    </row>
    <row r="5" spans="1:12" x14ac:dyDescent="0.25">
      <c r="A5" s="24" t="s">
        <v>42</v>
      </c>
    </row>
    <row r="9" spans="1:12" x14ac:dyDescent="0.25">
      <c r="A9" s="4" t="s">
        <v>10</v>
      </c>
      <c r="I9" s="2" t="s">
        <v>20</v>
      </c>
    </row>
    <row r="11" spans="1:12" x14ac:dyDescent="0.25">
      <c r="A11" s="2" t="s">
        <v>1</v>
      </c>
      <c r="K11" s="20" t="s">
        <v>14</v>
      </c>
      <c r="L11" s="20" t="s">
        <v>17</v>
      </c>
    </row>
    <row r="12" spans="1:12" x14ac:dyDescent="0.25">
      <c r="B12" s="2" t="s">
        <v>14</v>
      </c>
      <c r="D12" s="13">
        <f>K32</f>
        <v>5691826.4120465647</v>
      </c>
      <c r="I12" s="21" t="s">
        <v>21</v>
      </c>
      <c r="K12" s="20">
        <v>1096686.6922660286</v>
      </c>
      <c r="L12" s="20">
        <v>870723.88419571333</v>
      </c>
    </row>
    <row r="13" spans="1:12" x14ac:dyDescent="0.25">
      <c r="B13" s="2" t="s">
        <v>17</v>
      </c>
      <c r="D13" s="14">
        <f>L32</f>
        <v>4551552.797074738</v>
      </c>
      <c r="I13" s="21" t="s">
        <v>22</v>
      </c>
      <c r="K13" s="20">
        <v>1792887.9314427308</v>
      </c>
      <c r="L13" s="20">
        <v>1423478.8792483553</v>
      </c>
    </row>
    <row r="14" spans="1:12" x14ac:dyDescent="0.25">
      <c r="B14" s="2" t="s">
        <v>4</v>
      </c>
      <c r="D14" s="15">
        <f>SUM(D12:D13)</f>
        <v>10243379.209121302</v>
      </c>
      <c r="I14" s="21" t="s">
        <v>23</v>
      </c>
      <c r="K14" s="20">
        <v>116971.39328914418</v>
      </c>
      <c r="L14" s="20">
        <v>97572.656217706011</v>
      </c>
    </row>
    <row r="15" spans="1:12" x14ac:dyDescent="0.25">
      <c r="I15" s="21"/>
      <c r="K15" s="20"/>
      <c r="L15" s="20"/>
    </row>
    <row r="16" spans="1:12" x14ac:dyDescent="0.25">
      <c r="A16" s="2" t="s">
        <v>5</v>
      </c>
      <c r="I16" s="21" t="s">
        <v>24</v>
      </c>
      <c r="K16" s="20">
        <v>843751.18088521354</v>
      </c>
      <c r="L16" s="20">
        <v>669903.54738149722</v>
      </c>
    </row>
    <row r="17" spans="1:12" x14ac:dyDescent="0.25">
      <c r="B17" s="2" t="s">
        <v>14</v>
      </c>
      <c r="D17" s="16">
        <f>1860125+2416973</f>
        <v>4277098</v>
      </c>
      <c r="I17" s="21" t="s">
        <v>25</v>
      </c>
      <c r="K17" s="20">
        <v>1295308.8232618759</v>
      </c>
      <c r="L17" s="20">
        <v>1028421.6429152855</v>
      </c>
    </row>
    <row r="18" spans="1:12" x14ac:dyDescent="0.25">
      <c r="B18" s="2" t="s">
        <v>18</v>
      </c>
      <c r="D18" s="14">
        <v>4406484.1747975927</v>
      </c>
      <c r="I18" s="21" t="s">
        <v>26</v>
      </c>
      <c r="K18" s="20">
        <v>341341.78550085309</v>
      </c>
      <c r="L18" s="20">
        <v>284733.07663424831</v>
      </c>
    </row>
    <row r="19" spans="1:12" x14ac:dyDescent="0.25">
      <c r="B19" s="2" t="s">
        <v>4</v>
      </c>
      <c r="D19" s="16">
        <f>SUM(D17:D18)</f>
        <v>8683582.1747975927</v>
      </c>
      <c r="I19" s="21"/>
      <c r="K19" s="20"/>
      <c r="L19" s="20"/>
    </row>
    <row r="20" spans="1:12" x14ac:dyDescent="0.25">
      <c r="G20" s="3" t="s">
        <v>15</v>
      </c>
      <c r="I20" s="21" t="s">
        <v>27</v>
      </c>
      <c r="K20" s="20">
        <v>212374.59331928074</v>
      </c>
      <c r="L20" s="20">
        <v>168616.64512164268</v>
      </c>
    </row>
    <row r="21" spans="1:12" x14ac:dyDescent="0.25">
      <c r="A21" s="2" t="s">
        <v>6</v>
      </c>
      <c r="E21" s="5">
        <f>ROUND(D14/D19,2)</f>
        <v>1.18</v>
      </c>
      <c r="G21" s="6">
        <v>7.1800000000000003E-2</v>
      </c>
      <c r="I21" s="21" t="s">
        <v>28</v>
      </c>
      <c r="K21" s="20">
        <v>326032.94762148737</v>
      </c>
      <c r="L21" s="20">
        <v>258856.67851242216</v>
      </c>
    </row>
    <row r="22" spans="1:12" x14ac:dyDescent="0.25">
      <c r="I22" s="21" t="s">
        <v>29</v>
      </c>
      <c r="K22" s="20">
        <v>85916.70686915805</v>
      </c>
      <c r="L22" s="20">
        <v>71668.13241233569</v>
      </c>
    </row>
    <row r="23" spans="1:12" x14ac:dyDescent="0.25">
      <c r="A23" s="2" t="s">
        <v>3</v>
      </c>
      <c r="I23" s="21"/>
      <c r="K23" s="20"/>
      <c r="L23" s="20"/>
    </row>
    <row r="24" spans="1:12" x14ac:dyDescent="0.25">
      <c r="B24" s="2" t="s">
        <v>14</v>
      </c>
      <c r="D24" s="13">
        <f>50667367</f>
        <v>50667367</v>
      </c>
      <c r="G24" s="10"/>
      <c r="I24" s="21" t="s">
        <v>32</v>
      </c>
      <c r="K24" s="20">
        <v>-4599.9464023723949</v>
      </c>
      <c r="L24" s="20">
        <v>-3652.1672295392532</v>
      </c>
    </row>
    <row r="25" spans="1:12" x14ac:dyDescent="0.25">
      <c r="B25" s="2" t="s">
        <v>17</v>
      </c>
      <c r="D25" s="14">
        <f>40506142</f>
        <v>40506142</v>
      </c>
      <c r="G25" s="10"/>
      <c r="I25" s="21" t="s">
        <v>33</v>
      </c>
      <c r="K25" s="20">
        <v>-7061.7396413875704</v>
      </c>
      <c r="L25" s="20">
        <v>-5606.7292628697987</v>
      </c>
    </row>
    <row r="26" spans="1:12" x14ac:dyDescent="0.25">
      <c r="B26" s="2" t="s">
        <v>4</v>
      </c>
      <c r="D26" s="17">
        <f>SUM(D24:D25)</f>
        <v>91173509</v>
      </c>
      <c r="I26" s="21" t="s">
        <v>34</v>
      </c>
      <c r="K26" s="20">
        <v>-1860.9205578197914</v>
      </c>
      <c r="L26" s="20">
        <v>-1552.3022914480725</v>
      </c>
    </row>
    <row r="27" spans="1:12" x14ac:dyDescent="0.25">
      <c r="I27" s="21"/>
      <c r="K27" s="20"/>
      <c r="L27" s="20"/>
    </row>
    <row r="28" spans="1:12" x14ac:dyDescent="0.25">
      <c r="A28" s="2" t="s">
        <v>7</v>
      </c>
      <c r="D28" s="7">
        <f>D26*G21</f>
        <v>6546257.9462000001</v>
      </c>
      <c r="I28" s="21" t="s">
        <v>36</v>
      </c>
      <c r="K28" s="7">
        <v>0</v>
      </c>
      <c r="L28" s="7">
        <v>0</v>
      </c>
    </row>
    <row r="29" spans="1:12" x14ac:dyDescent="0.25">
      <c r="I29" s="21" t="s">
        <v>35</v>
      </c>
      <c r="K29" s="7">
        <v>0</v>
      </c>
      <c r="L29" s="7">
        <v>0</v>
      </c>
    </row>
    <row r="30" spans="1:12" x14ac:dyDescent="0.25">
      <c r="A30" s="2" t="s">
        <v>8</v>
      </c>
      <c r="E30" s="8">
        <f>ROUND(D28/D19,2)</f>
        <v>0.75</v>
      </c>
      <c r="I30" s="21" t="s">
        <v>30</v>
      </c>
      <c r="K30" s="20">
        <f>-405923.035807626</f>
        <v>-405923.03580762597</v>
      </c>
      <c r="L30" s="20">
        <f>-311611.146780611</f>
        <v>-311611.14678061102</v>
      </c>
    </row>
    <row r="31" spans="1:12" x14ac:dyDescent="0.25">
      <c r="I31" s="21"/>
    </row>
    <row r="32" spans="1:12" ht="15.75" thickBot="1" x14ac:dyDescent="0.3">
      <c r="A32" s="2" t="s">
        <v>9</v>
      </c>
      <c r="E32" s="9">
        <f>ROUND(E21+E30,2)</f>
        <v>1.93</v>
      </c>
      <c r="F32" s="11" t="s">
        <v>16</v>
      </c>
      <c r="I32" s="21" t="s">
        <v>31</v>
      </c>
      <c r="K32" s="22">
        <f>SUM(K12:K30)</f>
        <v>5691826.4120465647</v>
      </c>
      <c r="L32" s="22">
        <f>SUM(L12:L30)</f>
        <v>4551552.797074738</v>
      </c>
    </row>
    <row r="33" spans="2:4" ht="15.75" thickTop="1" x14ac:dyDescent="0.25"/>
    <row r="35" spans="2:4" x14ac:dyDescent="0.25">
      <c r="B35" s="18"/>
      <c r="C35" s="12"/>
      <c r="D35" s="12"/>
    </row>
  </sheetData>
  <phoneticPr fontId="0" type="noConversion"/>
  <pageMargins left="1" right="1" top="1" bottom="1" header="0.5" footer="0.56000000000000005"/>
  <pageSetup orientation="portrait" r:id="rId1"/>
  <headerFooter>
    <oddHeader>&amp;R&amp;"Times New Roman,Bold"&amp;12Exhibit WSS-8
Page 3 of 4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L35"/>
  <sheetViews>
    <sheetView view="pageBreakPreview" zoomScaleNormal="100" zoomScaleSheetLayoutView="100" workbookViewId="0"/>
  </sheetViews>
  <sheetFormatPr defaultColWidth="9.140625" defaultRowHeight="15" x14ac:dyDescent="0.25"/>
  <cols>
    <col min="1" max="3" width="9.140625" style="2"/>
    <col min="4" max="4" width="14.7109375" style="2" customWidth="1"/>
    <col min="5" max="5" width="12.85546875" style="2" bestFit="1" customWidth="1"/>
    <col min="6" max="6" width="9.140625" style="2"/>
    <col min="7" max="8" width="12.5703125" style="3" customWidth="1"/>
    <col min="9" max="9" width="16.42578125" style="2" customWidth="1"/>
    <col min="10" max="10" width="5.42578125" style="2" customWidth="1"/>
    <col min="11" max="11" width="9.85546875" style="2" bestFit="1" customWidth="1"/>
    <col min="12" max="12" width="11.42578125" style="2" bestFit="1" customWidth="1"/>
    <col min="13" max="16384" width="9.140625" style="2"/>
  </cols>
  <sheetData>
    <row r="2" spans="1:12" x14ac:dyDescent="0.25">
      <c r="A2" s="1" t="s">
        <v>0</v>
      </c>
    </row>
    <row r="3" spans="1:12" x14ac:dyDescent="0.25">
      <c r="A3" s="2" t="s">
        <v>12</v>
      </c>
    </row>
    <row r="4" spans="1:12" x14ac:dyDescent="0.25">
      <c r="A4" s="2" t="s">
        <v>11</v>
      </c>
    </row>
    <row r="5" spans="1:12" x14ac:dyDescent="0.25">
      <c r="A5" s="24" t="s">
        <v>42</v>
      </c>
    </row>
    <row r="9" spans="1:12" x14ac:dyDescent="0.25">
      <c r="A9" s="4" t="s">
        <v>2</v>
      </c>
      <c r="I9" s="2" t="s">
        <v>20</v>
      </c>
    </row>
    <row r="11" spans="1:12" x14ac:dyDescent="0.25">
      <c r="A11" s="2" t="s">
        <v>1</v>
      </c>
      <c r="K11" s="20" t="s">
        <v>13</v>
      </c>
      <c r="L11" s="20" t="s">
        <v>19</v>
      </c>
    </row>
    <row r="12" spans="1:12" x14ac:dyDescent="0.25">
      <c r="B12" s="2" t="s">
        <v>13</v>
      </c>
      <c r="D12" s="19">
        <f>K32</f>
        <v>304138.31607796333</v>
      </c>
      <c r="I12" s="21" t="s">
        <v>21</v>
      </c>
      <c r="K12" s="20">
        <v>64698.927511643451</v>
      </c>
      <c r="L12" s="20">
        <v>919707.91883350676</v>
      </c>
    </row>
    <row r="13" spans="1:12" x14ac:dyDescent="0.25">
      <c r="B13" s="2" t="s">
        <v>19</v>
      </c>
      <c r="D13" s="14">
        <f>L32</f>
        <v>4297652.2195094442</v>
      </c>
      <c r="I13" s="21" t="s">
        <v>22</v>
      </c>
      <c r="K13" s="20">
        <v>105771.25365972384</v>
      </c>
      <c r="L13" s="20">
        <v>1503559.0745810883</v>
      </c>
    </row>
    <row r="14" spans="1:12" x14ac:dyDescent="0.25">
      <c r="B14" s="2" t="s">
        <v>4</v>
      </c>
      <c r="D14" s="15">
        <f>SUM(D12:D13)</f>
        <v>4601790.5355874076</v>
      </c>
      <c r="I14" s="21" t="s">
        <v>23</v>
      </c>
      <c r="K14" s="20">
        <v>0</v>
      </c>
      <c r="L14" s="20">
        <v>0</v>
      </c>
    </row>
    <row r="15" spans="1:12" x14ac:dyDescent="0.25">
      <c r="I15" s="21"/>
      <c r="K15" s="20"/>
      <c r="L15" s="20"/>
    </row>
    <row r="16" spans="1:12" x14ac:dyDescent="0.25">
      <c r="A16" s="2" t="s">
        <v>5</v>
      </c>
      <c r="D16" s="12"/>
      <c r="I16" s="21" t="s">
        <v>24</v>
      </c>
      <c r="K16" s="20">
        <v>49777.020980495196</v>
      </c>
      <c r="L16" s="20">
        <v>707590.09665908676</v>
      </c>
    </row>
    <row r="17" spans="1:12" x14ac:dyDescent="0.25">
      <c r="B17" s="2" t="str">
        <f>B12</f>
        <v>PSP</v>
      </c>
      <c r="D17" s="16">
        <f>148944+191122</f>
        <v>340066</v>
      </c>
      <c r="I17" s="21" t="s">
        <v>25</v>
      </c>
      <c r="K17" s="20">
        <v>76416.621312555581</v>
      </c>
      <c r="L17" s="20">
        <v>1086277.2298506906</v>
      </c>
    </row>
    <row r="18" spans="1:12" x14ac:dyDescent="0.25">
      <c r="B18" s="2" t="str">
        <f>B13</f>
        <v>TODP</v>
      </c>
      <c r="D18" s="14">
        <v>5354605.9968741415</v>
      </c>
      <c r="I18" s="21" t="s">
        <v>26</v>
      </c>
      <c r="K18" s="20">
        <v>0</v>
      </c>
      <c r="L18" s="20">
        <v>0</v>
      </c>
    </row>
    <row r="19" spans="1:12" x14ac:dyDescent="0.25">
      <c r="B19" s="2" t="s">
        <v>4</v>
      </c>
      <c r="D19" s="16">
        <f>SUM(D17:D18)</f>
        <v>5694671.9968741415</v>
      </c>
      <c r="I19" s="21"/>
      <c r="K19" s="20"/>
      <c r="L19" s="20"/>
    </row>
    <row r="20" spans="1:12" x14ac:dyDescent="0.25">
      <c r="G20" s="3" t="s">
        <v>15</v>
      </c>
      <c r="I20" s="21" t="s">
        <v>27</v>
      </c>
      <c r="K20" s="20">
        <v>12529.019012793695</v>
      </c>
      <c r="L20" s="20">
        <v>178102.45771397368</v>
      </c>
    </row>
    <row r="21" spans="1:12" x14ac:dyDescent="0.25">
      <c r="A21" s="2" t="s">
        <v>6</v>
      </c>
      <c r="E21" s="5">
        <f>ROUND(D14/D19,2)</f>
        <v>0.81</v>
      </c>
      <c r="G21" s="6">
        <f>'WSS-8 p3'!G21</f>
        <v>7.1800000000000003E-2</v>
      </c>
      <c r="I21" s="21" t="s">
        <v>28</v>
      </c>
      <c r="K21" s="20">
        <v>19234.282857016002</v>
      </c>
      <c r="L21" s="20">
        <v>273419.09575699904</v>
      </c>
    </row>
    <row r="22" spans="1:12" x14ac:dyDescent="0.25">
      <c r="I22" s="21" t="s">
        <v>29</v>
      </c>
      <c r="K22" s="20">
        <v>0</v>
      </c>
      <c r="L22" s="20">
        <v>0</v>
      </c>
    </row>
    <row r="23" spans="1:12" x14ac:dyDescent="0.25">
      <c r="A23" s="2" t="s">
        <v>3</v>
      </c>
      <c r="I23" s="21"/>
      <c r="K23" s="20"/>
      <c r="L23" s="20"/>
    </row>
    <row r="24" spans="1:12" x14ac:dyDescent="0.25">
      <c r="B24" s="2" t="str">
        <f>B12</f>
        <v>PSP</v>
      </c>
      <c r="D24" s="19">
        <f>2580628</f>
        <v>2580628</v>
      </c>
      <c r="I24" s="21" t="s">
        <v>32</v>
      </c>
      <c r="K24" s="20">
        <v>-271.37340221535538</v>
      </c>
      <c r="L24" s="20">
        <v>-3857.6260314877177</v>
      </c>
    </row>
    <row r="25" spans="1:12" x14ac:dyDescent="0.25">
      <c r="B25" s="2" t="str">
        <f>B13</f>
        <v>TODP</v>
      </c>
      <c r="D25" s="14">
        <f>36684134</f>
        <v>36684134</v>
      </c>
      <c r="I25" s="21" t="s">
        <v>33</v>
      </c>
      <c r="K25" s="20">
        <v>-416.60666112414549</v>
      </c>
      <c r="L25" s="20">
        <v>-5922.1452350305126</v>
      </c>
    </row>
    <row r="26" spans="1:12" x14ac:dyDescent="0.25">
      <c r="B26" s="2" t="s">
        <v>4</v>
      </c>
      <c r="D26" s="17">
        <f>SUM(D24:D25)</f>
        <v>39264762</v>
      </c>
      <c r="I26" s="21" t="s">
        <v>34</v>
      </c>
      <c r="K26" s="20">
        <v>0</v>
      </c>
      <c r="L26" s="20">
        <v>0</v>
      </c>
    </row>
    <row r="28" spans="1:12" x14ac:dyDescent="0.25">
      <c r="A28" s="2" t="s">
        <v>7</v>
      </c>
      <c r="D28" s="7">
        <f>D26*G21</f>
        <v>2819209.9116000002</v>
      </c>
      <c r="I28" s="21" t="s">
        <v>36</v>
      </c>
      <c r="K28" s="7">
        <v>0</v>
      </c>
      <c r="L28" s="7">
        <v>0</v>
      </c>
    </row>
    <row r="29" spans="1:12" x14ac:dyDescent="0.25">
      <c r="I29" s="21" t="s">
        <v>35</v>
      </c>
      <c r="K29" s="7">
        <v>0</v>
      </c>
      <c r="L29" s="7">
        <v>0</v>
      </c>
    </row>
    <row r="30" spans="1:12" x14ac:dyDescent="0.25">
      <c r="A30" s="2" t="s">
        <v>8</v>
      </c>
      <c r="E30" s="8">
        <f>ROUND(D28/D19,2)</f>
        <v>0.5</v>
      </c>
      <c r="I30" s="21" t="s">
        <v>30</v>
      </c>
      <c r="K30" s="20">
        <f>-23600.8291929249</f>
        <v>-23600.829192924899</v>
      </c>
      <c r="L30" s="20">
        <f>-361223.882619382</f>
        <v>-361223.882619382</v>
      </c>
    </row>
    <row r="31" spans="1:12" x14ac:dyDescent="0.25">
      <c r="I31" s="21"/>
    </row>
    <row r="32" spans="1:12" ht="15.75" thickBot="1" x14ac:dyDescent="0.3">
      <c r="A32" s="2" t="s">
        <v>9</v>
      </c>
      <c r="E32" s="9">
        <f>ROUND(E21+E30,2)</f>
        <v>1.31</v>
      </c>
      <c r="F32" s="11" t="s">
        <v>16</v>
      </c>
      <c r="I32" s="21" t="s">
        <v>31</v>
      </c>
      <c r="K32" s="22">
        <f>SUM(K12:K30)</f>
        <v>304138.31607796333</v>
      </c>
      <c r="L32" s="22">
        <f>SUM(L12:L30)</f>
        <v>4297652.2195094442</v>
      </c>
    </row>
    <row r="33" spans="2:4" ht="15.75" thickTop="1" x14ac:dyDescent="0.25"/>
    <row r="35" spans="2:4" x14ac:dyDescent="0.25">
      <c r="B35" s="18"/>
      <c r="C35" s="12"/>
      <c r="D35" s="12"/>
    </row>
  </sheetData>
  <phoneticPr fontId="0" type="noConversion"/>
  <pageMargins left="1" right="1" top="1" bottom="1" header="0.5" footer="0.75"/>
  <pageSetup orientation="portrait" r:id="rId1"/>
  <headerFooter>
    <oddHeader>&amp;R&amp;"Times New Roman,Bold"&amp;12Exhibit WSS-8
Page 4 of 4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C3042865-1D61-460E-9573-644CF6A96730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2b9e1b56-1bc3-4bb6-83f9-6df8fea7da23"/>
  </ds:schemaRefs>
</ds:datastoreItem>
</file>

<file path=customXml/itemProps2.xml><?xml version="1.0" encoding="utf-8"?>
<ds:datastoreItem xmlns:ds="http://schemas.openxmlformats.org/officeDocument/2006/customXml" ds:itemID="{3E9C9906-A760-4975-80C1-7150D8C9C194}"/>
</file>

<file path=customXml/itemProps3.xml><?xml version="1.0" encoding="utf-8"?>
<ds:datastoreItem xmlns:ds="http://schemas.openxmlformats.org/officeDocument/2006/customXml" ds:itemID="{38E0B4CC-9B66-4332-AD3C-8578C541EFD5}"/>
</file>

<file path=customXml/itemProps4.xml><?xml version="1.0" encoding="utf-8"?>
<ds:datastoreItem xmlns:ds="http://schemas.openxmlformats.org/officeDocument/2006/customXml" ds:itemID="{824BCB20-7CE7-4C99-A6D1-4FD5CCC57EFC}"/>
</file>

<file path=customXml/itemProps5.xml><?xml version="1.0" encoding="utf-8"?>
<ds:datastoreItem xmlns:ds="http://schemas.openxmlformats.org/officeDocument/2006/customXml" ds:itemID="{B32F9197-29B9-47E9-ADE7-C912D7965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WSS-8 p1</vt:lpstr>
      <vt:lpstr>WSS-8 p2</vt:lpstr>
      <vt:lpstr>WSS-8 p3</vt:lpstr>
      <vt:lpstr>WSS-8 p4</vt:lpstr>
      <vt:lpstr>'WSS-8 p1'!Print_Area</vt:lpstr>
      <vt:lpstr>'WSS-8 p2'!Print_Area</vt:lpstr>
      <vt:lpstr>'WSS-8 p3'!Print_Area</vt:lpstr>
      <vt:lpstr>'WSS-8 p4'!Print_Area</vt:lpstr>
    </vt:vector>
  </TitlesOfParts>
  <Company>The Prime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Griffin, Amber</cp:lastModifiedBy>
  <cp:lastPrinted>2018-09-20T03:33:47Z</cp:lastPrinted>
  <dcterms:created xsi:type="dcterms:W3CDTF">2002-01-10T15:58:51Z</dcterms:created>
  <dcterms:modified xsi:type="dcterms:W3CDTF">2020-12-04T19:31:10Z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