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3.xml" ContentType="application/vnd.openxmlformats-officedocument.spreadsheetml.comment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mc:AlternateContent xmlns:mc="http://schemas.openxmlformats.org/markup-compatibility/2006">
    <mc:Choice Requires="x15">
      <x15ac:absPath xmlns:x15ac="http://schemas.microsoft.com/office/spreadsheetml/2010/11/ac" url="\\fs2\rates\Rate Case 2020\Cost of Service\COS Studies\Seelye Exhibits (in excel for Q56)\"/>
    </mc:Choice>
  </mc:AlternateContent>
  <xr:revisionPtr revIDLastSave="0" documentId="13_ncr:1_{04161B2B-6CF1-4FBD-9195-9EFAF836CEB9}" xr6:coauthVersionLast="45" xr6:coauthVersionMax="45" xr10:uidLastSave="{00000000-0000-0000-0000-000000000000}"/>
  <bookViews>
    <workbookView xWindow="-120" yWindow="-120" windowWidth="29040" windowHeight="15840" tabRatio="881" xr2:uid="{00000000-000D-0000-FFFF-FFFF00000000}"/>
  </bookViews>
  <sheets>
    <sheet name="KU Rate Summary" sheetId="15" r:id="rId1"/>
    <sheet name="LGE Rate Summary" sheetId="18" r:id="rId2"/>
    <sheet name="CCS_Inputs" sheetId="19" r:id="rId3"/>
    <sheet name="ECR FAC TCJA" sheetId="14" r:id="rId4"/>
    <sheet name="WACC - Carrying Charges" sheetId="13" r:id="rId5"/>
    <sheet name="2019 EV Usage Data" sheetId="17" r:id="rId6"/>
    <sheet name="Costs_Reference" sheetId="11" state="hidden" r:id="rId7"/>
  </sheets>
  <definedNames>
    <definedName name="_xlnm.Print_Area" localSheetId="0">'KU Rate Summary'!$A$1:$F$33</definedName>
    <definedName name="_xlnm.Print_Area" localSheetId="1">'LGE Rate Summary'!$A$1:$F$33</definedName>
    <definedName name="Rate_10" localSheetId="1">#REF!</definedName>
    <definedName name="Rate_10">#REF!</definedName>
    <definedName name="Rate_12" localSheetId="1">#REF!</definedName>
    <definedName name="Rate_12">#REF!</definedName>
    <definedName name="Rate_8" localSheetId="1">#REF!</definedName>
    <definedName name="Rate_8">#REF!</definedName>
    <definedName name="WkSht_10" localSheetId="1">#REF!</definedName>
    <definedName name="WkSht_10">#REF!</definedName>
    <definedName name="WkSht_12" localSheetId="1">#REF!</definedName>
    <definedName name="WkSht_12">#REF!</definedName>
    <definedName name="WkSht_8" localSheetId="1">#REF!</definedName>
    <definedName name="WkSht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3" l="1"/>
  <c r="A21" i="13" s="1"/>
  <c r="G23" i="18" l="1"/>
  <c r="H23" i="18" s="1"/>
  <c r="I23" i="18" s="1"/>
  <c r="G22" i="18"/>
  <c r="H22" i="18" s="1"/>
  <c r="I22" i="18" s="1"/>
  <c r="G23" i="15"/>
  <c r="H23" i="15" s="1"/>
  <c r="I23" i="15" s="1"/>
  <c r="G22" i="15"/>
  <c r="H22" i="15" s="1"/>
  <c r="I22" i="15" s="1"/>
  <c r="D20" i="11" l="1"/>
  <c r="F7" i="15" l="1"/>
  <c r="F12" i="15"/>
  <c r="I32" i="13"/>
  <c r="A32" i="13"/>
  <c r="F12" i="18"/>
  <c r="D25" i="11" l="1"/>
  <c r="D27" i="11"/>
  <c r="D32" i="11"/>
  <c r="F7" i="18"/>
  <c r="D34" i="11" l="1"/>
  <c r="F11" i="15"/>
  <c r="F11" i="18"/>
  <c r="D28" i="11"/>
  <c r="K6" i="17"/>
  <c r="L6" i="17" s="1"/>
  <c r="M6" i="17"/>
  <c r="J24" i="17"/>
  <c r="I24" i="17"/>
  <c r="C24" i="17" l="1"/>
  <c r="B24" i="17"/>
  <c r="F24" i="17" l="1"/>
  <c r="D4" i="17"/>
  <c r="F4" i="17"/>
  <c r="K4" i="17"/>
  <c r="M4" i="17"/>
  <c r="O45" i="11"/>
  <c r="L4" i="17" l="1"/>
  <c r="E4" i="17"/>
  <c r="F20" i="17"/>
  <c r="D16" i="17"/>
  <c r="E16" i="17" s="1"/>
  <c r="D12" i="17"/>
  <c r="E12" i="17" s="1"/>
  <c r="D13" i="17"/>
  <c r="E13" i="17" s="1"/>
  <c r="F13" i="17"/>
  <c r="D14" i="17"/>
  <c r="E14" i="17" s="1"/>
  <c r="F14" i="17"/>
  <c r="D15" i="17"/>
  <c r="E15" i="17" s="1"/>
  <c r="F15" i="17"/>
  <c r="D17" i="17"/>
  <c r="E17" i="17" s="1"/>
  <c r="F17" i="17"/>
  <c r="D18" i="17"/>
  <c r="E18" i="17" s="1"/>
  <c r="F18" i="17"/>
  <c r="D19" i="17"/>
  <c r="E19" i="17" s="1"/>
  <c r="F19" i="17"/>
  <c r="D20" i="17"/>
  <c r="E20" i="17" s="1"/>
  <c r="D21" i="17"/>
  <c r="E21" i="17" s="1"/>
  <c r="F21" i="17"/>
  <c r="D22" i="17"/>
  <c r="E22" i="17" s="1"/>
  <c r="F22" i="17"/>
  <c r="D23" i="17"/>
  <c r="E23" i="17" s="1"/>
  <c r="F23" i="17"/>
  <c r="F16" i="17" l="1"/>
  <c r="F12" i="17"/>
  <c r="R45" i="11"/>
  <c r="Q45" i="11"/>
  <c r="T45" i="11"/>
  <c r="P45" i="11"/>
  <c r="U45" i="11"/>
  <c r="S45" i="11"/>
  <c r="C27" i="11"/>
  <c r="B27" i="11"/>
  <c r="C25" i="11"/>
  <c r="B25" i="11"/>
  <c r="C23" i="11"/>
  <c r="B23" i="11"/>
  <c r="A18" i="13" l="1"/>
  <c r="M5" i="17" l="1"/>
  <c r="K5" i="17"/>
  <c r="L5" i="17" l="1"/>
  <c r="K24" i="17"/>
  <c r="C28" i="17"/>
  <c r="C27" i="17"/>
  <c r="C32" i="17" s="1"/>
  <c r="C34" i="17" s="1"/>
  <c r="C38" i="17" s="1"/>
  <c r="M24" i="17"/>
  <c r="L24" i="17"/>
  <c r="I24" i="19" l="1"/>
  <c r="I23" i="19" s="1"/>
  <c r="D24" i="19"/>
  <c r="D23" i="19" s="1"/>
  <c r="I22" i="19"/>
  <c r="I21" i="19" s="1"/>
  <c r="D22" i="19"/>
  <c r="D21" i="19" s="1"/>
  <c r="C17" i="18" l="1"/>
  <c r="E12" i="18"/>
  <c r="H12" i="18" s="1"/>
  <c r="D12" i="18"/>
  <c r="G12" i="18" l="1"/>
  <c r="I12" i="18" s="1"/>
  <c r="D17" i="18"/>
  <c r="F17" i="18" s="1"/>
  <c r="F18" i="18" s="1"/>
  <c r="C17" i="15" l="1"/>
  <c r="D17" i="15" l="1"/>
  <c r="F17" i="15" s="1"/>
  <c r="F18" i="15" s="1"/>
  <c r="D12" i="15"/>
  <c r="G12" i="15" s="1"/>
  <c r="I12" i="15" s="1"/>
  <c r="E12" i="15"/>
  <c r="H12" i="15" s="1"/>
  <c r="B21" i="14"/>
  <c r="G21" i="14"/>
  <c r="F5" i="17"/>
  <c r="F6" i="17"/>
  <c r="F7" i="17"/>
  <c r="F8" i="17"/>
  <c r="F9" i="17"/>
  <c r="F10" i="17"/>
  <c r="F11" i="17"/>
  <c r="D5" i="17"/>
  <c r="D6" i="17"/>
  <c r="E6" i="17" s="1"/>
  <c r="D7" i="17"/>
  <c r="E7" i="17" s="1"/>
  <c r="D8" i="17"/>
  <c r="E8" i="17" s="1"/>
  <c r="D9" i="17"/>
  <c r="E9" i="17" s="1"/>
  <c r="D10" i="17"/>
  <c r="E10" i="17" s="1"/>
  <c r="D11" i="17"/>
  <c r="E11" i="17" s="1"/>
  <c r="E5" i="17" l="1"/>
  <c r="D24" i="17"/>
  <c r="E24" i="17" s="1"/>
  <c r="B27" i="17"/>
  <c r="B32" i="17" s="1"/>
  <c r="B34" i="17" s="1"/>
  <c r="B38" i="17" s="1"/>
  <c r="B28" i="17"/>
  <c r="D7" i="19" l="1"/>
  <c r="D14" i="19" s="1"/>
  <c r="G19" i="18"/>
  <c r="H19" i="18"/>
  <c r="G17" i="18"/>
  <c r="G19" i="15"/>
  <c r="G17" i="15"/>
  <c r="I19" i="15"/>
  <c r="I7" i="19"/>
  <c r="I14" i="19" s="1"/>
  <c r="H19" i="15"/>
  <c r="I19" i="18"/>
  <c r="I6" i="19"/>
  <c r="I13" i="19" s="1"/>
  <c r="D6" i="19"/>
  <c r="D13" i="19" s="1"/>
  <c r="D18" i="18"/>
  <c r="E17" i="18"/>
  <c r="E17" i="15"/>
  <c r="D18" i="15"/>
  <c r="I15" i="14"/>
  <c r="D15" i="14"/>
  <c r="H15" i="14"/>
  <c r="C15" i="14"/>
  <c r="C26" i="14" s="1"/>
  <c r="G15" i="14"/>
  <c r="F4" i="14"/>
  <c r="F5" i="14" s="1"/>
  <c r="F6" i="14" s="1"/>
  <c r="F7" i="14" s="1"/>
  <c r="F8" i="14" s="1"/>
  <c r="F9" i="14" s="1"/>
  <c r="F10" i="14" s="1"/>
  <c r="F11" i="14" s="1"/>
  <c r="F12" i="14" s="1"/>
  <c r="F13" i="14" s="1"/>
  <c r="F14" i="14" s="1"/>
  <c r="B15" i="14"/>
  <c r="A4" i="14"/>
  <c r="A5" i="14" s="1"/>
  <c r="A6" i="14" s="1"/>
  <c r="A7" i="14" s="1"/>
  <c r="A8" i="14" s="1"/>
  <c r="A9" i="14" s="1"/>
  <c r="A10" i="14" s="1"/>
  <c r="A11" i="14" s="1"/>
  <c r="A12" i="14" s="1"/>
  <c r="A13" i="14" s="1"/>
  <c r="A14" i="14" s="1"/>
  <c r="I25" i="13"/>
  <c r="A25" i="13"/>
  <c r="H17" i="15" l="1"/>
  <c r="I17" i="15"/>
  <c r="G18" i="18"/>
  <c r="H17" i="18"/>
  <c r="H18" i="18" s="1"/>
  <c r="G18" i="15"/>
  <c r="I18" i="15"/>
  <c r="I4" i="19"/>
  <c r="I11" i="19" s="1"/>
  <c r="D4" i="19"/>
  <c r="D11" i="19" s="1"/>
  <c r="G24" i="15"/>
  <c r="H24" i="15" s="1"/>
  <c r="I24" i="15" s="1"/>
  <c r="D5" i="19" s="1"/>
  <c r="E18" i="18"/>
  <c r="I17" i="18"/>
  <c r="I18" i="18" s="1"/>
  <c r="H18" i="15"/>
  <c r="E18" i="15"/>
  <c r="H26" i="14"/>
  <c r="G24" i="18" s="1"/>
  <c r="H24" i="18" s="1"/>
  <c r="G26" i="14"/>
  <c r="G21" i="18" s="1"/>
  <c r="B26" i="14"/>
  <c r="J10" i="13"/>
  <c r="J11" i="13" s="1"/>
  <c r="M9" i="13"/>
  <c r="M8" i="13"/>
  <c r="M7" i="13"/>
  <c r="I33" i="13" s="1"/>
  <c r="H21" i="18" l="1"/>
  <c r="D12" i="19"/>
  <c r="I24" i="18"/>
  <c r="I5" i="19" s="1"/>
  <c r="G21" i="15"/>
  <c r="M11" i="13"/>
  <c r="I31" i="13" s="1"/>
  <c r="I35" i="13" s="1"/>
  <c r="F9" i="18" s="1"/>
  <c r="B10" i="13"/>
  <c r="B11" i="13" s="1"/>
  <c r="E9" i="13"/>
  <c r="E8" i="13"/>
  <c r="H21" i="15" l="1"/>
  <c r="I12" i="19"/>
  <c r="I24" i="13"/>
  <c r="I26" i="13"/>
  <c r="I21" i="18"/>
  <c r="E7" i="13"/>
  <c r="I21" i="15" l="1"/>
  <c r="D8" i="19" s="1"/>
  <c r="D15" i="19" s="1"/>
  <c r="D17" i="19" s="1"/>
  <c r="I8" i="19"/>
  <c r="I15" i="19" s="1"/>
  <c r="I17" i="19" s="1"/>
  <c r="E11" i="13"/>
  <c r="A20" i="13"/>
  <c r="I28" i="13"/>
  <c r="F13" i="18" l="1"/>
  <c r="F15" i="18" s="1"/>
  <c r="F28" i="18" s="1"/>
  <c r="C9" i="18"/>
  <c r="D10" i="19"/>
  <c r="I10" i="19"/>
  <c r="A26" i="13"/>
  <c r="A33" i="13"/>
  <c r="A24" i="13"/>
  <c r="A28" i="13" s="1"/>
  <c r="C9" i="15" s="1"/>
  <c r="A31" i="13"/>
  <c r="A35" i="13" s="1"/>
  <c r="F9" i="15" s="1"/>
  <c r="F13" i="15" s="1"/>
  <c r="F15" i="15" s="1"/>
  <c r="F28" i="15" s="1"/>
  <c r="C32" i="11"/>
  <c r="B32" i="11"/>
  <c r="F30" i="18" l="1"/>
  <c r="F30" i="15"/>
  <c r="D11" i="18"/>
  <c r="G11" i="18" s="1"/>
  <c r="D11" i="15"/>
  <c r="G11" i="15" s="1"/>
  <c r="B34" i="11"/>
  <c r="E11" i="18"/>
  <c r="H11" i="18" s="1"/>
  <c r="E11" i="15"/>
  <c r="H11" i="15" s="1"/>
  <c r="C34" i="11"/>
  <c r="I15" i="11"/>
  <c r="I16" i="11" s="1"/>
  <c r="G15" i="11"/>
  <c r="G16" i="11" s="1"/>
  <c r="F13" i="11"/>
  <c r="E11" i="11"/>
  <c r="B11" i="11"/>
  <c r="C9" i="11"/>
  <c r="B9" i="11"/>
  <c r="F8" i="11"/>
  <c r="F7" i="11"/>
  <c r="E7" i="11"/>
  <c r="D7" i="11"/>
  <c r="C7" i="11"/>
  <c r="B7" i="11"/>
  <c r="H6" i="11"/>
  <c r="H15" i="11" s="1"/>
  <c r="H16" i="11" s="1"/>
  <c r="F6" i="11"/>
  <c r="E6" i="11"/>
  <c r="D6" i="11"/>
  <c r="C6" i="11"/>
  <c r="C20" i="11" s="1"/>
  <c r="B6" i="11"/>
  <c r="B20" i="11" s="1"/>
  <c r="I11" i="15" l="1"/>
  <c r="C21" i="11"/>
  <c r="B21" i="11"/>
  <c r="C22" i="11"/>
  <c r="B22" i="11"/>
  <c r="I11" i="18"/>
  <c r="B15" i="11"/>
  <c r="B16" i="11" s="1"/>
  <c r="E15" i="11"/>
  <c r="E16" i="11" s="1"/>
  <c r="D15" i="11"/>
  <c r="D16" i="11" s="1"/>
  <c r="C15" i="11"/>
  <c r="C16" i="11" s="1"/>
  <c r="F15" i="11"/>
  <c r="F16" i="11" s="1"/>
  <c r="C28" i="11" l="1"/>
  <c r="H7" i="18" s="1"/>
  <c r="H9" i="18" s="1"/>
  <c r="H13" i="18" s="1"/>
  <c r="E7" i="18"/>
  <c r="E7" i="15"/>
  <c r="D7" i="18"/>
  <c r="D7" i="15"/>
  <c r="B28" i="11"/>
  <c r="G7" i="18" s="1"/>
  <c r="G9" i="18" s="1"/>
  <c r="G13" i="18" s="1"/>
  <c r="G16" i="18" l="1"/>
  <c r="G29" i="18" s="1"/>
  <c r="G15" i="18"/>
  <c r="E9" i="15"/>
  <c r="E13" i="15" s="1"/>
  <c r="E15" i="15" s="1"/>
  <c r="E28" i="15" s="1"/>
  <c r="D9" i="15"/>
  <c r="D13" i="15" s="1"/>
  <c r="D15" i="15" s="1"/>
  <c r="D28" i="15" s="1"/>
  <c r="E9" i="18"/>
  <c r="E13" i="18" s="1"/>
  <c r="E15" i="18" s="1"/>
  <c r="E28" i="18" s="1"/>
  <c r="D9" i="18"/>
  <c r="D13" i="18" s="1"/>
  <c r="D15" i="18" s="1"/>
  <c r="D28" i="18" s="1"/>
  <c r="H16" i="18"/>
  <c r="H29" i="18" s="1"/>
  <c r="H15" i="18"/>
  <c r="G7" i="15"/>
  <c r="G9" i="15" s="1"/>
  <c r="H7" i="15"/>
  <c r="I30" i="19" l="1"/>
  <c r="I28" i="19"/>
  <c r="D30" i="18"/>
  <c r="D28" i="19"/>
  <c r="D30" i="19"/>
  <c r="D30" i="15"/>
  <c r="I27" i="19"/>
  <c r="I29" i="19"/>
  <c r="E30" i="18"/>
  <c r="D29" i="19"/>
  <c r="D27" i="19"/>
  <c r="E30" i="15"/>
  <c r="H9" i="15"/>
  <c r="H13" i="15" s="1"/>
  <c r="I7" i="15"/>
  <c r="G13" i="15"/>
  <c r="I7" i="18"/>
  <c r="D26" i="19" l="1"/>
  <c r="D33" i="19" s="1"/>
  <c r="I25" i="19"/>
  <c r="I32" i="19" s="1"/>
  <c r="I26" i="19"/>
  <c r="I33" i="19" s="1"/>
  <c r="H16" i="15"/>
  <c r="H29" i="15" s="1"/>
  <c r="H15" i="15"/>
  <c r="D25" i="19"/>
  <c r="D32" i="19" s="1"/>
  <c r="I9" i="15"/>
  <c r="I13" i="15" s="1"/>
  <c r="I9" i="18"/>
  <c r="I13" i="18" s="1"/>
  <c r="G15" i="15"/>
  <c r="G16" i="15"/>
  <c r="G29" i="15" s="1"/>
  <c r="I15" i="15" l="1"/>
  <c r="I16" i="15"/>
  <c r="I29" i="15" s="1"/>
  <c r="I15" i="18"/>
  <c r="I16" i="18"/>
  <c r="I2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Hurst, Brian</author>
  </authors>
  <commentList>
    <comment ref="A27" authorId="0" shapeId="0" xr:uid="{00000000-0006-0000-0400-000005000000}">
      <text>
        <r>
          <rPr>
            <b/>
            <sz val="9"/>
            <color indexed="81"/>
            <rFont val="Tahoma"/>
            <family val="2"/>
          </rPr>
          <t>Hurst, Brian:</t>
        </r>
        <r>
          <rPr>
            <sz val="9"/>
            <color indexed="81"/>
            <rFont val="Tahoma"/>
            <family val="2"/>
          </rPr>
          <t xml:space="preserve">
From Chad Clements in Tax Accounting &amp; Compliance - reference email in folder</t>
        </r>
      </text>
    </comment>
    <comment ref="I27" authorId="0" shapeId="0" xr:uid="{00000000-0006-0000-0400-000006000000}">
      <text>
        <r>
          <rPr>
            <b/>
            <sz val="9"/>
            <color indexed="81"/>
            <rFont val="Tahoma"/>
            <family val="2"/>
          </rPr>
          <t>Hurst, Brian:</t>
        </r>
        <r>
          <rPr>
            <sz val="9"/>
            <color indexed="81"/>
            <rFont val="Tahoma"/>
            <family val="2"/>
          </rPr>
          <t xml:space="preserve">
From Chad Clements in Tax Accounting &amp; Compliance - reference email in folder</t>
        </r>
      </text>
    </comment>
    <comment ref="A34" authorId="0" shapeId="0" xr:uid="{500C17A4-9217-4A7F-8D85-8CA3AECEA6B3}">
      <text>
        <r>
          <rPr>
            <b/>
            <sz val="9"/>
            <color indexed="81"/>
            <rFont val="Tahoma"/>
            <family val="2"/>
          </rPr>
          <t>Hurst, Brian:</t>
        </r>
        <r>
          <rPr>
            <sz val="9"/>
            <color indexed="81"/>
            <rFont val="Tahoma"/>
            <family val="2"/>
          </rPr>
          <t xml:space="preserve">
From Chad Clements in Tax Accounting &amp; Compliance - reference email in folder</t>
        </r>
      </text>
    </comment>
    <comment ref="I34" authorId="0" shapeId="0" xr:uid="{3BA75E16-0FAC-4E92-9C4A-1B1DA898035E}">
      <text>
        <r>
          <rPr>
            <b/>
            <sz val="9"/>
            <color indexed="81"/>
            <rFont val="Tahoma"/>
            <family val="2"/>
          </rPr>
          <t>Hurst, Brian:</t>
        </r>
        <r>
          <rPr>
            <sz val="9"/>
            <color indexed="81"/>
            <rFont val="Tahoma"/>
            <family val="2"/>
          </rPr>
          <t xml:space="preserve">
From Chad Clements in Tax Accounting &amp; Compliance - reference email in folder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Hurst, Brian</author>
    <author>Tillman, Thembi</author>
  </authors>
  <commentList>
    <comment ref="A2" authorId="0" shapeId="0" xr:uid="{00000000-0006-0000-0500-000001000000}">
      <text>
        <r>
          <rPr>
            <b/>
            <sz val="9"/>
            <color indexed="81"/>
            <rFont val="Tahoma"/>
            <family val="2"/>
          </rPr>
          <t>Hurst, Brian:</t>
        </r>
        <r>
          <rPr>
            <sz val="9"/>
            <color indexed="81"/>
            <rFont val="Tahoma"/>
            <family val="2"/>
          </rPr>
          <t xml:space="preserve">
From "2017_LGE_KU_Program_Annual_Report.pdf"</t>
        </r>
      </text>
    </comment>
    <comment ref="H2" authorId="0" shapeId="0" xr:uid="{00000000-0006-0000-0500-000002000000}">
      <text>
        <r>
          <rPr>
            <b/>
            <sz val="9"/>
            <color indexed="81"/>
            <rFont val="Tahoma"/>
            <family val="2"/>
          </rPr>
          <t>Hurst, Brian:</t>
        </r>
        <r>
          <rPr>
            <sz val="9"/>
            <color indexed="81"/>
            <rFont val="Tahoma"/>
            <family val="2"/>
          </rPr>
          <t xml:space="preserve">
From "2017_LGE_KU_Program_Annual_Report.pdf"</t>
        </r>
      </text>
    </comment>
    <comment ref="C3" authorId="1" shapeId="0" xr:uid="{11D39E92-AE00-43FD-A6BC-DC7A3BE5F514}">
      <text>
        <r>
          <rPr>
            <b/>
            <sz val="9"/>
            <color indexed="81"/>
            <rFont val="Tahoma"/>
            <family val="2"/>
          </rPr>
          <t>Tillman, Thembi:</t>
        </r>
        <r>
          <rPr>
            <sz val="9"/>
            <color indexed="81"/>
            <rFont val="Tahoma"/>
            <family val="2"/>
          </rPr>
          <t xml:space="preserve">
EV Usage Reporting 2019</t>
        </r>
      </text>
    </comment>
    <comment ref="H4" authorId="1" shapeId="0" xr:uid="{5F96A45B-38AF-4C0E-893F-B01150B77705}">
      <text>
        <r>
          <rPr>
            <b/>
            <sz val="9"/>
            <color indexed="81"/>
            <rFont val="Tahoma"/>
            <family val="2"/>
          </rPr>
          <t>Tillman, Thembi:</t>
        </r>
        <r>
          <rPr>
            <sz val="9"/>
            <color indexed="81"/>
            <rFont val="Tahoma"/>
            <family val="2"/>
          </rPr>
          <t xml:space="preserve">
Yum 1</t>
        </r>
      </text>
    </comment>
    <comment ref="H5" authorId="1" shapeId="0" xr:uid="{857916C1-4D0E-4C80-8CBD-3A47C376102E}">
      <text>
        <r>
          <rPr>
            <b/>
            <sz val="9"/>
            <color indexed="81"/>
            <rFont val="Tahoma"/>
            <family val="2"/>
          </rPr>
          <t>Tillman, Thembi:</t>
        </r>
        <r>
          <rPr>
            <sz val="9"/>
            <color indexed="81"/>
            <rFont val="Tahoma"/>
            <family val="2"/>
          </rPr>
          <t xml:space="preserve">
Hilton Garden Inn</t>
        </r>
      </text>
    </comment>
    <comment ref="H6" authorId="1" shapeId="0" xr:uid="{3ABECEEB-7A64-457A-B0AC-60CE7959C90E}">
      <text>
        <r>
          <rPr>
            <b/>
            <sz val="9"/>
            <color indexed="81"/>
            <rFont val="Tahoma"/>
            <family val="2"/>
          </rPr>
          <t>Tillman, Thembi:</t>
        </r>
        <r>
          <rPr>
            <sz val="9"/>
            <color indexed="81"/>
            <rFont val="Tahoma"/>
            <family val="2"/>
          </rPr>
          <t xml:space="preserve">
Yum 2
</t>
        </r>
      </text>
    </comment>
    <comment ref="A8" authorId="1" shapeId="0" xr:uid="{E710C1A3-6475-45CA-97E7-EED96F932D48}">
      <text>
        <r>
          <rPr>
            <b/>
            <sz val="9"/>
            <color indexed="81"/>
            <rFont val="Tahoma"/>
            <family val="2"/>
          </rPr>
          <t>Tillman, Thembi:</t>
        </r>
        <r>
          <rPr>
            <sz val="9"/>
            <color indexed="81"/>
            <rFont val="Tahoma"/>
            <family val="2"/>
          </rPr>
          <t xml:space="preserve">
315 Main</t>
        </r>
      </text>
    </comment>
    <comment ref="A9" authorId="1" shapeId="0" xr:uid="{1D6127FA-5C36-4522-BAC2-CF80B5F3B1A8}">
      <text>
        <r>
          <rPr>
            <b/>
            <sz val="9"/>
            <color indexed="81"/>
            <rFont val="Tahoma"/>
            <family val="2"/>
          </rPr>
          <t>Tillman, Thembi:</t>
        </r>
        <r>
          <rPr>
            <sz val="9"/>
            <color indexed="81"/>
            <rFont val="Tahoma"/>
            <family val="2"/>
          </rPr>
          <t xml:space="preserve">
921 W Main</t>
        </r>
      </text>
    </comment>
    <comment ref="B30" authorId="0" shapeId="0" xr:uid="{00000000-0006-0000-0500-000003000000}">
      <text>
        <r>
          <rPr>
            <b/>
            <sz val="9"/>
            <color indexed="81"/>
            <rFont val="Tahoma"/>
            <family val="2"/>
          </rPr>
          <t>Hurst, Brian:</t>
        </r>
        <r>
          <rPr>
            <sz val="9"/>
            <color indexed="81"/>
            <rFont val="Tahoma"/>
            <family val="2"/>
          </rPr>
          <t xml:space="preserve">
Average of eGallon Pricing Recommendation file, "Session Data" tab, Column E (kwh/hr), 2017 only</t>
        </r>
      </text>
    </comment>
    <comment ref="C30" authorId="0" shapeId="0" xr:uid="{00000000-0006-0000-0500-000004000000}">
      <text>
        <r>
          <rPr>
            <b/>
            <sz val="9"/>
            <color indexed="81"/>
            <rFont val="Tahoma"/>
            <family val="2"/>
          </rPr>
          <t>Hurst, Brian:</t>
        </r>
        <r>
          <rPr>
            <sz val="9"/>
            <color indexed="81"/>
            <rFont val="Tahoma"/>
            <family val="2"/>
          </rPr>
          <t xml:space="preserve">
Average of eGallon Pricing Recommendation file, "Session Data" tab, Column E (kwh/hr), 2017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Hurst, Brian</author>
    <author>Robertson, Jay</author>
  </authors>
  <commentList>
    <comment ref="A1" authorId="0" shapeId="0" xr:uid="{00000000-0006-0000-0600-000001000000}">
      <text>
        <r>
          <rPr>
            <b/>
            <sz val="9"/>
            <color indexed="81"/>
            <rFont val="Tahoma"/>
            <family val="2"/>
          </rPr>
          <t>Hurst, Brian:</t>
        </r>
        <r>
          <rPr>
            <sz val="9"/>
            <color indexed="81"/>
            <rFont val="Tahoma"/>
            <family val="2"/>
          </rPr>
          <t xml:space="preserve">
From Jay Robertson in Emerging Technologies: email in folder
All costs are inclusive of sales tax and delivery fees</t>
        </r>
      </text>
    </comment>
    <comment ref="B7" authorId="1" shapeId="0" xr:uid="{00000000-0006-0000-0600-000002000000}">
      <text>
        <r>
          <rPr>
            <b/>
            <sz val="9"/>
            <color indexed="81"/>
            <rFont val="Tahoma"/>
            <family val="2"/>
          </rPr>
          <t>Robertson, Jay:</t>
        </r>
        <r>
          <rPr>
            <sz val="9"/>
            <color indexed="81"/>
            <rFont val="Tahoma"/>
            <family val="2"/>
          </rPr>
          <t xml:space="preserve">
5 year plan</t>
        </r>
      </text>
    </comment>
    <comment ref="C7" authorId="1" shapeId="0" xr:uid="{00000000-0006-0000-0600-000003000000}">
      <text>
        <r>
          <rPr>
            <b/>
            <sz val="9"/>
            <color indexed="81"/>
            <rFont val="Tahoma"/>
            <family val="2"/>
          </rPr>
          <t>Robertson, Jay:</t>
        </r>
        <r>
          <rPr>
            <sz val="9"/>
            <color indexed="81"/>
            <rFont val="Tahoma"/>
            <family val="2"/>
          </rPr>
          <t xml:space="preserve">
5 year plan</t>
        </r>
      </text>
    </comment>
    <comment ref="D7" authorId="1" shapeId="0" xr:uid="{00000000-0006-0000-0600-000004000000}">
      <text>
        <r>
          <rPr>
            <b/>
            <sz val="9"/>
            <color indexed="81"/>
            <rFont val="Tahoma"/>
            <family val="2"/>
          </rPr>
          <t>Robertson, Jay:</t>
        </r>
        <r>
          <rPr>
            <sz val="9"/>
            <color indexed="81"/>
            <rFont val="Tahoma"/>
            <family val="2"/>
          </rPr>
          <t xml:space="preserve">
5 year plan</t>
        </r>
      </text>
    </comment>
    <comment ref="E7" authorId="1" shapeId="0" xr:uid="{00000000-0006-0000-0600-000005000000}">
      <text>
        <r>
          <rPr>
            <b/>
            <sz val="9"/>
            <color indexed="81"/>
            <rFont val="Tahoma"/>
            <family val="2"/>
          </rPr>
          <t>Robertson, Jay:</t>
        </r>
        <r>
          <rPr>
            <sz val="9"/>
            <color indexed="81"/>
            <rFont val="Tahoma"/>
            <family val="2"/>
          </rPr>
          <t xml:space="preserve">
5 year plan</t>
        </r>
      </text>
    </comment>
    <comment ref="F7" authorId="1" shapeId="0" xr:uid="{00000000-0006-0000-0600-000006000000}">
      <text>
        <r>
          <rPr>
            <b/>
            <sz val="9"/>
            <color indexed="81"/>
            <rFont val="Tahoma"/>
            <family val="2"/>
          </rPr>
          <t>Robertson, Jay:</t>
        </r>
        <r>
          <rPr>
            <sz val="9"/>
            <color indexed="81"/>
            <rFont val="Tahoma"/>
            <family val="2"/>
          </rPr>
          <t xml:space="preserve">
5 year plan</t>
        </r>
      </text>
    </comment>
  </commentList>
</comments>
</file>

<file path=xl/sharedStrings.xml><?xml version="1.0" encoding="utf-8"?>
<sst xmlns="http://schemas.openxmlformats.org/spreadsheetml/2006/main" count="477" uniqueCount="211">
  <si>
    <t>Weighted Average Cost of Capital (WACC)</t>
  </si>
  <si>
    <t>Capitalization</t>
  </si>
  <si>
    <t>Total WACC</t>
  </si>
  <si>
    <t>Overall Rate of Return</t>
  </si>
  <si>
    <t>year useful life</t>
  </si>
  <si>
    <t>Income Taxes</t>
  </si>
  <si>
    <t>R.O.E.</t>
  </si>
  <si>
    <t>Annual</t>
  </si>
  <si>
    <t>Overall Cost of Capital</t>
  </si>
  <si>
    <t>Weighted</t>
  </si>
  <si>
    <t>Cost</t>
  </si>
  <si>
    <t>Short Term</t>
  </si>
  <si>
    <t>Long Term</t>
  </si>
  <si>
    <t>Total Debt</t>
  </si>
  <si>
    <t>Single Charger</t>
  </si>
  <si>
    <t>Estimated Investment per Unit</t>
  </si>
  <si>
    <t>Dual Charger</t>
  </si>
  <si>
    <t>Basic Service Charge</t>
  </si>
  <si>
    <t>Fuel Adjustment Clause</t>
  </si>
  <si>
    <t>School Tax</t>
  </si>
  <si>
    <t>Franchise Fee</t>
  </si>
  <si>
    <t>Environmental Surcharge (Level 2)</t>
  </si>
  <si>
    <t>KU</t>
  </si>
  <si>
    <t>EVC</t>
  </si>
  <si>
    <t>State Sales Tax</t>
  </si>
  <si>
    <t>EVC Fee per Hour for Equipment, Energy &amp; Factors</t>
  </si>
  <si>
    <t xml:space="preserve">Fixed Charges @ </t>
  </si>
  <si>
    <t>Average</t>
  </si>
  <si>
    <t>Distribution Energy per kWh per year   (Calculated with GS Rate)</t>
  </si>
  <si>
    <t>Distribution Energy per kWh per month</t>
  </si>
  <si>
    <t>Distribution Energy per kWh per hour</t>
  </si>
  <si>
    <t>EVSE Monthly Rate for Equipment, Energy &amp; Factors</t>
  </si>
  <si>
    <t>Site</t>
  </si>
  <si>
    <t>KU General Office</t>
  </si>
  <si>
    <t>Butchertown - E Washington St.</t>
  </si>
  <si>
    <t>Highlands - Hepburn Ave</t>
  </si>
  <si>
    <t>High St &amp; MLK</t>
  </si>
  <si>
    <t>Main &amp; Floyd</t>
  </si>
  <si>
    <t>9th St Overpass</t>
  </si>
  <si>
    <t>Crescent Hill</t>
  </si>
  <si>
    <t>Midway City Hall</t>
  </si>
  <si>
    <t>Status</t>
  </si>
  <si>
    <t>Complete</t>
  </si>
  <si>
    <t>Install Date</t>
  </si>
  <si>
    <t>Station Type</t>
  </si>
  <si>
    <t>Single Port</t>
  </si>
  <si>
    <t>Dual Port</t>
  </si>
  <si>
    <t>Location Type</t>
  </si>
  <si>
    <t>Parking Lot</t>
  </si>
  <si>
    <t>Right-Side Park Curbside</t>
  </si>
  <si>
    <t>Chargepoint Equipment Cost</t>
  </si>
  <si>
    <t>Chargepoint Annual Cost (1 yr.)</t>
  </si>
  <si>
    <t>LG&amp;E/KU DO Cost</t>
  </si>
  <si>
    <t>Parking Authority Cost</t>
  </si>
  <si>
    <t>Cubero Station Branding</t>
  </si>
  <si>
    <t>Permits (By LG&amp;E/KU)</t>
  </si>
  <si>
    <t>"EV Parking Only" Signage</t>
  </si>
  <si>
    <t>Other</t>
  </si>
  <si>
    <t>Total</t>
  </si>
  <si>
    <t>Capital Expenditure</t>
  </si>
  <si>
    <t>TOTAL</t>
  </si>
  <si>
    <t>O&amp;M (Scheduled/Trouble)</t>
  </si>
  <si>
    <t>Double Port</t>
  </si>
  <si>
    <t>per year</t>
  </si>
  <si>
    <t>Chargepoint Annual Cost</t>
  </si>
  <si>
    <t>Assumes 1 utility service call per year, 2 person crew for 2 hours @ $31.50/hour</t>
  </si>
  <si>
    <t>O&amp;M COSTS (per year)</t>
  </si>
  <si>
    <t>CAPITAL COSTS (per installation)</t>
  </si>
  <si>
    <t>No overhead costs - only planning to install as needed</t>
  </si>
  <si>
    <t>Includes sales tax and freight costs (EVSE, EVSE-R, EVC)</t>
  </si>
  <si>
    <t>EVC Only</t>
  </si>
  <si>
    <t>EVSE-R - Customer installs and owns facilites on its side of the meter to serve Company-provided charging station. Single Charger: $131.41</t>
  </si>
  <si>
    <t>EVSE - Company will furnish, own, install, and maintain the charging unit and cable.  Customer will furnish, own, and instlal all duct systems and associated equipment.  Customer shall be responsible for the charging equipment installation costs. Single Charger: $182.31</t>
  </si>
  <si>
    <t>Common Equity</t>
  </si>
  <si>
    <t>Ratio</t>
  </si>
  <si>
    <t>LG&amp;E</t>
  </si>
  <si>
    <t>Carrying Charges</t>
  </si>
  <si>
    <t>TOTAL Corporate Tax Rate</t>
  </si>
  <si>
    <t>Straight-Line Depreciation</t>
  </si>
  <si>
    <t>Property Taxes</t>
  </si>
  <si>
    <t>KU Carrying Charge Income Tax Calculation = (KU Weighted Cost of Equity / (1- Corporate Tax Rate)) x Corporate Tax Rate</t>
  </si>
  <si>
    <t>LGE Carrying Charge Income Tax Calculation = (LGE Weighted Cost of Equity / (1- Corporate Tax Rate)) x Corporate Tax Rate</t>
  </si>
  <si>
    <t>KU TOTAL LEVELIZED FIXED CHARGE</t>
  </si>
  <si>
    <t>LGE TOTAL LEVELIZED FIXED CHARGE</t>
  </si>
  <si>
    <t>FAC</t>
  </si>
  <si>
    <t>Base Period Fuel Factor</t>
  </si>
  <si>
    <t>kWh use per hour</t>
  </si>
  <si>
    <t>ECR</t>
  </si>
  <si>
    <t>TCJA</t>
  </si>
  <si>
    <t>per hour</t>
  </si>
  <si>
    <t>GS Energy Rate</t>
  </si>
  <si>
    <t>Kentucky Utilities Company</t>
  </si>
  <si>
    <t>Derivation of Rates</t>
  </si>
  <si>
    <t>EVC Utilization</t>
  </si>
  <si>
    <t>Station</t>
  </si>
  <si>
    <t>Days in Service</t>
  </si>
  <si>
    <t>Total Hours of Usage</t>
  </si>
  <si>
    <t>100% Utilization Hours*</t>
  </si>
  <si>
    <t>Actual Utilization</t>
  </si>
  <si>
    <t>Hours of use per day</t>
  </si>
  <si>
    <t>Utilization</t>
  </si>
  <si>
    <t>Actual Utilization (to orig. 4 hrs per day)</t>
  </si>
  <si>
    <t>kWh/hr</t>
  </si>
  <si>
    <t>Charging Station Consumption (kWh / Day)</t>
  </si>
  <si>
    <t>Charging Station Consumption (kWh / Year)</t>
  </si>
  <si>
    <t>EVSE / EVSE-R</t>
  </si>
  <si>
    <t>EVC Rate per Hour for Equipment Only</t>
  </si>
  <si>
    <t>-</t>
  </si>
  <si>
    <t>Monthly Rate for Equipment Only</t>
  </si>
  <si>
    <t>kWh / year for screen and lighting</t>
  </si>
  <si>
    <t>Total Charging Station Consumption w/ Screen and Lighting (kWh / Year)</t>
  </si>
  <si>
    <t>Ind. Charger</t>
  </si>
  <si>
    <t>Louisville Gas and Electric Company</t>
  </si>
  <si>
    <t>EVSE-R Monthly Rate for Equipment Only</t>
  </si>
  <si>
    <t>EVSE-R Only</t>
  </si>
  <si>
    <t>Station 1</t>
  </si>
  <si>
    <t>Station 2</t>
  </si>
  <si>
    <t>EVSE-R Utilization</t>
  </si>
  <si>
    <t>EVSE - Company will furnish, own, install, and maintain the charging unit and cable.  Customer will furnish, own, and install all duct systems and associated equipment.  Customer shall be responsible for the charging equipment installation costs.</t>
  </si>
  <si>
    <t>EVSE-R - Customer installs and owns facilities on its side of the meter to serve Company-provided charging station.</t>
  </si>
  <si>
    <t>KU EVC</t>
  </si>
  <si>
    <t>CCS Price Key</t>
  </si>
  <si>
    <t>Description</t>
  </si>
  <si>
    <t>Current Price</t>
  </si>
  <si>
    <t>New Price</t>
  </si>
  <si>
    <t>KU_xxxx</t>
  </si>
  <si>
    <t>EVC: Base Energy (Non-Fuel) (first 2 hr)</t>
  </si>
  <si>
    <t>EVC: ECR Charge Component of Hourly Charge (first 2 hr)</t>
  </si>
  <si>
    <t>EVC: Energy ECR Component (first 2 hr)</t>
  </si>
  <si>
    <t>EVC: Energy Fuel Component (first 2 hr)</t>
  </si>
  <si>
    <t>EVC: FAC Charge Component of Hourly Charge (first 2 hr)</t>
  </si>
  <si>
    <t>EVC: Total Charge per hour (first 2 hr)</t>
  </si>
  <si>
    <t>EVC: Unit Charge Component of Hourly Charge (first 2 hr)</t>
  </si>
  <si>
    <t>EVC: Base Energy (Non-Fuel) &gt;2hr</t>
  </si>
  <si>
    <t xml:space="preserve">EVC: ECR Charge Component of Hourly Charge &gt;2hr </t>
  </si>
  <si>
    <t>EVC: Energy ECR Component &gt;2hr</t>
  </si>
  <si>
    <t>EVC: Energy Fuel Component &gt;2hr</t>
  </si>
  <si>
    <t>EVC: FAC Charge Component of Hourly Charge&gt;2hr</t>
  </si>
  <si>
    <t>EVC: Total Charge per hour &gt;2 hr</t>
  </si>
  <si>
    <t>EVC: Unit Charge Component of Hourly Charge &gt;2hr</t>
  </si>
  <si>
    <t>KU EVSE</t>
  </si>
  <si>
    <t>KU_EVS2ENE</t>
  </si>
  <si>
    <t>EVSE: Base Energy ECR - Dual Charger</t>
  </si>
  <si>
    <t>KU_EVS1ENE</t>
  </si>
  <si>
    <t>EVSE: Base Energy ECR - Single Charger</t>
  </si>
  <si>
    <t>KU_EVS2ENF</t>
  </si>
  <si>
    <t>EVSE: Base Energy Fuel - Dual Charger</t>
  </si>
  <si>
    <t>KU_EVS1ENF</t>
  </si>
  <si>
    <t>EVSE: Base Energy Fuel - Single Charger</t>
  </si>
  <si>
    <t>KU_EVS2ENN</t>
  </si>
  <si>
    <t>EVSE: Base Energy Non-Fuel - Dual Charger</t>
  </si>
  <si>
    <t>KU_EVS1ENN</t>
  </si>
  <si>
    <t>EVSE: Base Energy Non-Fuel - Single Charger</t>
  </si>
  <si>
    <t>KU_EVSE2EQ</t>
  </si>
  <si>
    <t>EVSE: Charging Unit Equip Comp - Dual Charger</t>
  </si>
  <si>
    <t>KU_EVSE1EQ</t>
  </si>
  <si>
    <t>EVSE: Charging Unit Equip Comp - Single Charger</t>
  </si>
  <si>
    <t>KU_EVSEC2</t>
  </si>
  <si>
    <t>EVSE: Charging Unit Fee Total - Dual Charger</t>
  </si>
  <si>
    <t>KU_EVSEC1</t>
  </si>
  <si>
    <t>EVSE: Charging Unit Fee Total - Single Charger</t>
  </si>
  <si>
    <t>LE_xxxx</t>
  </si>
  <si>
    <t>LGE EVC</t>
  </si>
  <si>
    <t>LE_EVS2ENE</t>
  </si>
  <si>
    <t>LE_EVS2ENF</t>
  </si>
  <si>
    <t>LE_EVS2ENN</t>
  </si>
  <si>
    <t>LE_EVSE2EQ</t>
  </si>
  <si>
    <t>LE_EVSEC2</t>
  </si>
  <si>
    <t>LE_EVS1ENE</t>
  </si>
  <si>
    <t>LE_EVS1ENF</t>
  </si>
  <si>
    <t>EVSE: Charger Energy Fuel Comp - Single Charger</t>
  </si>
  <si>
    <t>LE_EVS1ENN</t>
  </si>
  <si>
    <t>LE_EVSE1EQ</t>
  </si>
  <si>
    <t>LE_EVSEC1</t>
  </si>
  <si>
    <t>LGE EVSE</t>
  </si>
  <si>
    <t>Check</t>
  </si>
  <si>
    <t>Contractor Cost</t>
  </si>
  <si>
    <t>Elizabethtown City Lot</t>
  </si>
  <si>
    <t>Seneca Park</t>
  </si>
  <si>
    <t>AB Sawyer Park</t>
  </si>
  <si>
    <t>Charlie Vettiner Park</t>
  </si>
  <si>
    <t>Muhlenberg Co. Sports Park</t>
  </si>
  <si>
    <t>McConnell Springs</t>
  </si>
  <si>
    <t>Iroquios Park</t>
  </si>
  <si>
    <t>Press Avenue</t>
  </si>
  <si>
    <t>Danville</t>
  </si>
  <si>
    <t>Richmond</t>
  </si>
  <si>
    <t>Morehead</t>
  </si>
  <si>
    <t>LG&amp;E Center - Main St 212B</t>
  </si>
  <si>
    <t>Curb-Side</t>
  </si>
  <si>
    <t>Reference Filename</t>
  </si>
  <si>
    <t>EVC Station Cost Summary 2019</t>
  </si>
  <si>
    <t>2019 LG&amp;E and KU Combined EVC Data Summary</t>
  </si>
  <si>
    <t>Calculation</t>
  </si>
  <si>
    <t>Thru 2019 YE</t>
  </si>
  <si>
    <t>Station 3</t>
  </si>
  <si>
    <t>Clipper Creek - Single</t>
  </si>
  <si>
    <t>Chargepoint</t>
  </si>
  <si>
    <t>Chargepoint - Dual</t>
  </si>
  <si>
    <t>Chargepoint - Single</t>
  </si>
  <si>
    <t>Network Annual Cost</t>
  </si>
  <si>
    <t>Equipment Cost</t>
  </si>
  <si>
    <t>Solar PPA Adjustment Clause</t>
  </si>
  <si>
    <t>Economic Recovery Surcredit</t>
  </si>
  <si>
    <t>SP</t>
  </si>
  <si>
    <t>ERS</t>
  </si>
  <si>
    <t>GS Energy Base ECR Component (for CCS Inputs)</t>
  </si>
  <si>
    <t>State Corporate Tax Rate</t>
  </si>
  <si>
    <t>Capital Structure for 2020 Rate Case - Schedule J-1.1/J-1.2</t>
  </si>
  <si>
    <t>Federal Corporate Tax Rate (21% - 1.05% Fed benefit of state tax)</t>
  </si>
  <si>
    <t>Schedule H-1 (Statutory)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</si>
</sst>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General_)"/>
    <numFmt numFmtId="165" formatCode="_(&quot;$&quot;* #,##0.00000_);_(&quot;$&quot;* \(#,##0.00000\);_(&quot;$&quot;* &quot;-&quot;??_);_(@_)"/>
    <numFmt numFmtId="166" formatCode="0.000%"/>
    <numFmt numFmtId="167" formatCode="0.0%"/>
    <numFmt numFmtId="168" formatCode="[$-409]mmm\-yy;@"/>
    <numFmt numFmtId="169" formatCode="#,##0.00000_);\(#,##0.00000\)"/>
    <numFmt numFmtId="170" formatCode="_(* #,##0_);_(* \(#,##0\);_(* &quot;-&quot;??_);_(@_)"/>
    <numFmt numFmtId="171" formatCode="_(&quot;$&quot;* #,##0.0000_);_(&quot;$&quot;* \(#,##0.0000\);_(&quot;$&quot;* &quot;-&quot;??_);_(@_)"/>
  </numFmts>
  <fonts count="29" x14ac:knownFonts="1">
    <font>
      <sz val="12"/>
      <name val="Helv"/>
    </font>
    <font>
      <sz val="12"/>
      <name val="Times New Roman"/>
      <family val="1"/>
    </font>
    <font>
      <sz val="12"/>
      <name val="Helv"/>
    </font>
    <font>
      <sz val="11"/>
      <name val="Calibri"/>
      <family val="2"/>
      <scheme val="minor"/>
    </font>
    <font>
      <sz val="9"/>
      <color indexed="81"/>
      <name val="Tahoma"/>
      <family val="2"/>
    </font>
    <font>
      <b/>
      <sz val="9"/>
      <color indexed="81"/>
      <name val="Tahoma"/>
      <family val="2"/>
    </font>
    <font>
      <b/>
      <sz val="11"/>
      <color theme="1"/>
      <name val="Calibri"/>
      <family val="2"/>
      <scheme val="minor"/>
    </font>
    <font>
      <sz val="12"/>
      <name val="Calibri"/>
      <family val="2"/>
      <scheme val="minor"/>
    </font>
    <font>
      <b/>
      <sz val="12"/>
      <name val="Calibri"/>
      <family val="2"/>
      <scheme val="minor"/>
    </font>
    <font>
      <b/>
      <u/>
      <sz val="12"/>
      <name val="Calibri"/>
      <family val="2"/>
      <scheme val="minor"/>
    </font>
    <font>
      <sz val="12"/>
      <color rgb="FF0070C0"/>
      <name val="Calibri"/>
      <family val="2"/>
      <scheme val="minor"/>
    </font>
    <font>
      <b/>
      <sz val="11"/>
      <name val="Calibri"/>
      <family val="2"/>
      <scheme val="minor"/>
    </font>
    <font>
      <sz val="11"/>
      <color rgb="FF0070C0"/>
      <name val="Calibri"/>
      <family val="2"/>
      <scheme val="minor"/>
    </font>
    <font>
      <sz val="11"/>
      <color indexed="48"/>
      <name val="Calibri"/>
      <family val="2"/>
      <scheme val="minor"/>
    </font>
    <font>
      <b/>
      <u/>
      <sz val="16"/>
      <name val="Calibri"/>
      <family val="2"/>
      <scheme val="minor"/>
    </font>
    <font>
      <b/>
      <sz val="12"/>
      <color rgb="FFFF0000"/>
      <name val="Calibri"/>
      <family val="2"/>
      <scheme val="minor"/>
    </font>
    <font>
      <b/>
      <sz val="16"/>
      <color rgb="FFFF0000"/>
      <name val="Calibri"/>
      <family val="2"/>
      <scheme val="minor"/>
    </font>
    <font>
      <b/>
      <sz val="16"/>
      <color rgb="FF00B050"/>
      <name val="Calibri"/>
      <family val="2"/>
      <scheme val="minor"/>
    </font>
    <font>
      <b/>
      <sz val="12"/>
      <color rgb="FF00B050"/>
      <name val="Calibri"/>
      <family val="2"/>
      <scheme val="minor"/>
    </font>
    <font>
      <b/>
      <sz val="16"/>
      <name val="Calibri"/>
      <family val="2"/>
      <scheme val="minor"/>
    </font>
    <font>
      <sz val="12"/>
      <color rgb="FFFF0000"/>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1"/>
      <color rgb="FF00B050"/>
      <name val="Calibri"/>
      <family val="2"/>
      <scheme val="minor"/>
    </font>
    <font>
      <b/>
      <sz val="11"/>
      <color rgb="FFFA7D00"/>
      <name val="Calibri"/>
      <family val="2"/>
      <scheme val="minor"/>
    </font>
    <font>
      <b/>
      <u/>
      <sz val="12"/>
      <color rgb="FFFF0000"/>
      <name val="Calibri"/>
      <family val="2"/>
      <scheme val="minor"/>
    </font>
    <font>
      <sz val="8"/>
      <color rgb="FFFF0000"/>
      <name val="Calibri"/>
      <family val="2"/>
      <scheme val="minor"/>
    </font>
    <font>
      <b/>
      <u val="singleAccounting"/>
      <sz val="12"/>
      <name val="Calibri"/>
      <family val="2"/>
      <scheme val="minor"/>
    </font>
  </fonts>
  <fills count="6">
    <fill>
      <patternFill patternType="none"/>
    </fill>
    <fill>
      <patternFill patternType="gray125"/>
    </fill>
    <fill>
      <patternFill patternType="solid">
        <fgColor rgb="FF48F2F2"/>
        <bgColor indexed="64"/>
      </patternFill>
    </fill>
    <fill>
      <patternFill patternType="solid">
        <fgColor rgb="FFFFFF00"/>
        <bgColor indexed="64"/>
      </patternFill>
    </fill>
    <fill>
      <patternFill patternType="solid">
        <fgColor rgb="FFF2F2F2"/>
      </patternFill>
    </fill>
    <fill>
      <patternFill patternType="solid">
        <fgColor theme="0"/>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164" fontId="0" fillId="0" borderId="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5" fillId="4" borderId="13" applyNumberFormat="0" applyAlignment="0" applyProtection="0"/>
  </cellStyleXfs>
  <cellXfs count="194">
    <xf numFmtId="164" fontId="0" fillId="0" borderId="0" xfId="0"/>
    <xf numFmtId="164" fontId="7" fillId="0" borderId="0" xfId="0" applyFont="1"/>
    <xf numFmtId="164" fontId="7" fillId="0" borderId="0" xfId="0" applyFont="1" applyAlignment="1">
      <alignment wrapText="1"/>
    </xf>
    <xf numFmtId="164" fontId="7" fillId="0" borderId="0" xfId="0" applyFont="1" applyAlignment="1">
      <alignment horizontal="left" wrapText="1"/>
    </xf>
    <xf numFmtId="44" fontId="7" fillId="0" borderId="0" xfId="1" applyFont="1" applyFill="1" applyAlignment="1">
      <alignment horizontal="right" wrapText="1"/>
    </xf>
    <xf numFmtId="44" fontId="7" fillId="0" borderId="0" xfId="1" applyFont="1" applyFill="1" applyAlignment="1">
      <alignment wrapText="1"/>
    </xf>
    <xf numFmtId="44" fontId="7" fillId="0" borderId="0" xfId="1" applyFont="1" applyFill="1" applyBorder="1" applyAlignment="1">
      <alignment horizontal="right" wrapText="1"/>
    </xf>
    <xf numFmtId="164" fontId="7" fillId="0" borderId="0" xfId="0" applyFont="1" applyBorder="1" applyAlignment="1">
      <alignment wrapText="1"/>
    </xf>
    <xf numFmtId="164" fontId="8" fillId="0" borderId="0" xfId="0" applyFont="1" applyAlignment="1">
      <alignment horizontal="right" wrapText="1"/>
    </xf>
    <xf numFmtId="164" fontId="8" fillId="0" borderId="0" xfId="0" applyFont="1" applyBorder="1" applyAlignment="1">
      <alignment horizontal="right" wrapText="1"/>
    </xf>
    <xf numFmtId="164" fontId="8" fillId="0" borderId="0" xfId="0" applyFont="1" applyAlignment="1">
      <alignment vertical="center" wrapText="1"/>
    </xf>
    <xf numFmtId="164" fontId="9" fillId="0" borderId="0" xfId="0" applyFont="1" applyAlignment="1">
      <alignment horizontal="center"/>
    </xf>
    <xf numFmtId="44" fontId="7" fillId="0" borderId="0" xfId="1" applyFont="1"/>
    <xf numFmtId="44" fontId="10" fillId="0" borderId="3" xfId="1" applyFont="1" applyFill="1" applyBorder="1" applyAlignment="1">
      <alignment wrapText="1"/>
    </xf>
    <xf numFmtId="44" fontId="10" fillId="0" borderId="3" xfId="1" applyFont="1" applyFill="1" applyBorder="1" applyAlignment="1">
      <alignment horizontal="right" wrapText="1"/>
    </xf>
    <xf numFmtId="44" fontId="7" fillId="0" borderId="3" xfId="1" applyFont="1" applyBorder="1"/>
    <xf numFmtId="164" fontId="8" fillId="0" borderId="0" xfId="0" applyFont="1"/>
    <xf numFmtId="164" fontId="3" fillId="0" borderId="0" xfId="0" applyFont="1"/>
    <xf numFmtId="164" fontId="3" fillId="0" borderId="0" xfId="0" applyFont="1" applyAlignment="1"/>
    <xf numFmtId="164" fontId="3" fillId="0" borderId="1" xfId="0" applyFont="1" applyBorder="1" applyAlignment="1">
      <alignment horizontal="center"/>
    </xf>
    <xf numFmtId="0" fontId="3" fillId="0" borderId="1" xfId="0" applyNumberFormat="1" applyFont="1" applyBorder="1" applyAlignment="1">
      <alignment horizontal="center"/>
    </xf>
    <xf numFmtId="164" fontId="3" fillId="0" borderId="7" xfId="0" applyFont="1" applyBorder="1" applyAlignment="1">
      <alignment horizontal="center"/>
    </xf>
    <xf numFmtId="164" fontId="3" fillId="0" borderId="3" xfId="0" applyFont="1" applyBorder="1" applyAlignment="1"/>
    <xf numFmtId="164" fontId="3" fillId="0" borderId="3" xfId="0" applyFont="1" applyBorder="1" applyAlignment="1">
      <alignment horizontal="center"/>
    </xf>
    <xf numFmtId="10" fontId="3" fillId="0" borderId="0" xfId="0" applyNumberFormat="1" applyFont="1" applyAlignment="1">
      <alignment horizontal="center"/>
    </xf>
    <xf numFmtId="166" fontId="3" fillId="0" borderId="9" xfId="0" applyNumberFormat="1" applyFont="1" applyBorder="1" applyAlignment="1">
      <alignment horizontal="center"/>
    </xf>
    <xf numFmtId="164" fontId="3" fillId="0" borderId="0" xfId="0" quotePrefix="1" applyFont="1"/>
    <xf numFmtId="166" fontId="3" fillId="0" borderId="8" xfId="0" applyNumberFormat="1" applyFont="1" applyBorder="1" applyAlignment="1">
      <alignment horizontal="center"/>
    </xf>
    <xf numFmtId="10" fontId="3" fillId="0" borderId="0" xfId="0" quotePrefix="1" applyNumberFormat="1" applyFont="1" applyAlignment="1">
      <alignment horizontal="center"/>
    </xf>
    <xf numFmtId="10" fontId="13" fillId="0" borderId="0" xfId="2" applyNumberFormat="1" applyFont="1" applyBorder="1" applyAlignment="1">
      <alignment horizontal="center"/>
    </xf>
    <xf numFmtId="10" fontId="3" fillId="0" borderId="9" xfId="0" applyNumberFormat="1" applyFont="1" applyBorder="1" applyAlignment="1">
      <alignment horizontal="center"/>
    </xf>
    <xf numFmtId="164" fontId="11" fillId="0" borderId="6" xfId="0" applyFont="1" applyBorder="1" applyAlignment="1"/>
    <xf numFmtId="10" fontId="3" fillId="0" borderId="6" xfId="0" applyNumberFormat="1" applyFont="1" applyBorder="1" applyAlignment="1">
      <alignment horizontal="center"/>
    </xf>
    <xf numFmtId="164" fontId="3" fillId="0" borderId="6" xfId="0" applyFont="1" applyBorder="1" applyAlignment="1">
      <alignment horizontal="center"/>
    </xf>
    <xf numFmtId="166" fontId="11" fillId="0" borderId="10" xfId="0" applyNumberFormat="1" applyFont="1" applyFill="1" applyBorder="1" applyAlignment="1">
      <alignment horizontal="center"/>
    </xf>
    <xf numFmtId="164" fontId="11" fillId="0" borderId="0" xfId="0" quotePrefix="1" applyFont="1" applyFill="1"/>
    <xf numFmtId="164" fontId="3" fillId="0" borderId="0" xfId="0" quotePrefix="1" applyFont="1" applyBorder="1"/>
    <xf numFmtId="164" fontId="9" fillId="0" borderId="0" xfId="0" applyFont="1"/>
    <xf numFmtId="164" fontId="8" fillId="0" borderId="0" xfId="0" applyFont="1" applyAlignment="1">
      <alignment horizontal="center"/>
    </xf>
    <xf numFmtId="164" fontId="10" fillId="0" borderId="0" xfId="0" applyFont="1"/>
    <xf numFmtId="44" fontId="10" fillId="0" borderId="0" xfId="1" applyFont="1"/>
    <xf numFmtId="164" fontId="9" fillId="0" borderId="0" xfId="0" applyFont="1" applyBorder="1" applyAlignment="1">
      <alignment horizontal="center"/>
    </xf>
    <xf numFmtId="44" fontId="10" fillId="0" borderId="0" xfId="1" applyFont="1" applyBorder="1"/>
    <xf numFmtId="44" fontId="10" fillId="0" borderId="3" xfId="1" applyFont="1" applyBorder="1"/>
    <xf numFmtId="44" fontId="10" fillId="0" borderId="3" xfId="1" applyFont="1" applyBorder="1" applyAlignment="1">
      <alignment horizontal="right"/>
    </xf>
    <xf numFmtId="164" fontId="7" fillId="0" borderId="3" xfId="0" applyFont="1" applyBorder="1"/>
    <xf numFmtId="0" fontId="7" fillId="0" borderId="0" xfId="1" applyNumberFormat="1" applyFont="1" applyBorder="1" applyAlignment="1">
      <alignment horizontal="left"/>
    </xf>
    <xf numFmtId="0" fontId="7" fillId="0" borderId="0" xfId="1" applyNumberFormat="1" applyFont="1" applyBorder="1"/>
    <xf numFmtId="0" fontId="10" fillId="0" borderId="0" xfId="1" applyNumberFormat="1" applyFont="1" applyBorder="1"/>
    <xf numFmtId="0" fontId="7" fillId="0" borderId="0" xfId="0" applyNumberFormat="1" applyFont="1"/>
    <xf numFmtId="164" fontId="14" fillId="0" borderId="0" xfId="0" applyFont="1"/>
    <xf numFmtId="164" fontId="16" fillId="0" borderId="0" xfId="0" applyFont="1"/>
    <xf numFmtId="164" fontId="3" fillId="0" borderId="11" xfId="0" applyFont="1" applyBorder="1" applyAlignment="1"/>
    <xf numFmtId="164" fontId="3" fillId="0" borderId="2" xfId="0" applyFont="1" applyBorder="1" applyAlignment="1">
      <alignment horizontal="center"/>
    </xf>
    <xf numFmtId="164" fontId="3" fillId="0" borderId="12" xfId="0" applyFont="1" applyBorder="1" applyAlignment="1"/>
    <xf numFmtId="164" fontId="3" fillId="0" borderId="4" xfId="0" applyFont="1" applyBorder="1" applyAlignment="1">
      <alignment horizontal="center"/>
    </xf>
    <xf numFmtId="164" fontId="3" fillId="0" borderId="9" xfId="0" applyFont="1" applyBorder="1" applyAlignment="1">
      <alignment horizontal="center"/>
    </xf>
    <xf numFmtId="166" fontId="3" fillId="0" borderId="7" xfId="0" applyNumberFormat="1" applyFont="1" applyBorder="1" applyAlignment="1">
      <alignment horizontal="center"/>
    </xf>
    <xf numFmtId="164" fontId="17" fillId="0" borderId="0" xfId="0" applyFont="1"/>
    <xf numFmtId="167" fontId="7" fillId="0" borderId="0" xfId="2" applyNumberFormat="1" applyFont="1"/>
    <xf numFmtId="10" fontId="7" fillId="0" borderId="0" xfId="2" applyNumberFormat="1" applyFont="1"/>
    <xf numFmtId="166" fontId="7" fillId="0" borderId="0" xfId="2" applyNumberFormat="1" applyFont="1"/>
    <xf numFmtId="9" fontId="7" fillId="0" borderId="0" xfId="2" applyNumberFormat="1" applyFont="1"/>
    <xf numFmtId="10" fontId="8" fillId="0" borderId="0" xfId="2" applyNumberFormat="1" applyFont="1"/>
    <xf numFmtId="168" fontId="7" fillId="0" borderId="0" xfId="0" applyNumberFormat="1" applyFont="1"/>
    <xf numFmtId="169" fontId="10" fillId="0" borderId="0" xfId="0" applyNumberFormat="1" applyFont="1"/>
    <xf numFmtId="165" fontId="10" fillId="0" borderId="0" xfId="1" applyNumberFormat="1" applyFont="1"/>
    <xf numFmtId="169" fontId="7" fillId="0" borderId="0" xfId="0" applyNumberFormat="1" applyFont="1"/>
    <xf numFmtId="164" fontId="7" fillId="0" borderId="0" xfId="0" applyFont="1" applyAlignment="1">
      <alignment horizontal="right"/>
    </xf>
    <xf numFmtId="164" fontId="18" fillId="0" borderId="0" xfId="0" applyFont="1" applyAlignment="1">
      <alignment horizontal="right"/>
    </xf>
    <xf numFmtId="164" fontId="15" fillId="0" borderId="0" xfId="0" applyFont="1" applyAlignment="1">
      <alignment horizontal="right"/>
    </xf>
    <xf numFmtId="164" fontId="19" fillId="0" borderId="0" xfId="0" applyFont="1"/>
    <xf numFmtId="164" fontId="8" fillId="0" borderId="0" xfId="0" applyFont="1" applyAlignment="1">
      <alignment horizontal="center" wrapText="1"/>
    </xf>
    <xf numFmtId="170" fontId="7" fillId="0" borderId="0" xfId="3" applyNumberFormat="1" applyFont="1"/>
    <xf numFmtId="164" fontId="8" fillId="0" borderId="0" xfId="0" applyFont="1" applyAlignment="1">
      <alignment horizontal="right"/>
    </xf>
    <xf numFmtId="164" fontId="7" fillId="0" borderId="0" xfId="0" applyFont="1" applyBorder="1"/>
    <xf numFmtId="170" fontId="7" fillId="0" borderId="0" xfId="3" applyNumberFormat="1" applyFont="1" applyBorder="1"/>
    <xf numFmtId="1" fontId="7" fillId="0" borderId="0" xfId="3" applyNumberFormat="1" applyFont="1" applyFill="1" applyBorder="1"/>
    <xf numFmtId="164" fontId="7" fillId="0" borderId="0" xfId="0" applyFont="1" applyFill="1" applyBorder="1"/>
    <xf numFmtId="164" fontId="10" fillId="0" borderId="0" xfId="0" applyFont="1" applyFill="1" applyBorder="1"/>
    <xf numFmtId="0" fontId="7" fillId="0" borderId="0" xfId="0" applyNumberFormat="1" applyFont="1" applyFill="1" applyBorder="1"/>
    <xf numFmtId="0" fontId="8" fillId="0" borderId="0" xfId="0" applyNumberFormat="1" applyFont="1" applyFill="1" applyBorder="1"/>
    <xf numFmtId="1" fontId="8" fillId="0" borderId="0" xfId="0" applyNumberFormat="1" applyFont="1" applyFill="1" applyBorder="1"/>
    <xf numFmtId="2" fontId="7" fillId="0" borderId="0" xfId="0" applyNumberFormat="1" applyFont="1" applyFill="1"/>
    <xf numFmtId="164" fontId="8" fillId="0" borderId="3" xfId="0" applyFont="1" applyBorder="1" applyAlignment="1">
      <alignment horizontal="center"/>
    </xf>
    <xf numFmtId="164" fontId="8" fillId="0" borderId="0" xfId="0" applyFont="1" applyAlignment="1">
      <alignment horizontal="center"/>
    </xf>
    <xf numFmtId="44" fontId="7" fillId="0" borderId="0" xfId="1" applyFont="1" applyFill="1"/>
    <xf numFmtId="164" fontId="7" fillId="0" borderId="0" xfId="0" applyFont="1" applyAlignment="1">
      <alignment horizontal="center"/>
    </xf>
    <xf numFmtId="165" fontId="7" fillId="0" borderId="0" xfId="1" applyNumberFormat="1" applyFont="1"/>
    <xf numFmtId="44" fontId="20" fillId="0" borderId="0" xfId="1" applyFont="1"/>
    <xf numFmtId="44" fontId="8" fillId="2" borderId="0" xfId="1" applyFont="1" applyFill="1"/>
    <xf numFmtId="169" fontId="20" fillId="0" borderId="0" xfId="0" applyNumberFormat="1" applyFont="1"/>
    <xf numFmtId="14" fontId="7" fillId="0" borderId="0" xfId="0" applyNumberFormat="1" applyFont="1"/>
    <xf numFmtId="164" fontId="7" fillId="0" borderId="0" xfId="0" applyFont="1" applyFill="1"/>
    <xf numFmtId="164" fontId="21" fillId="0" borderId="0" xfId="0" applyFont="1" applyBorder="1" applyAlignment="1">
      <alignment vertical="center"/>
    </xf>
    <xf numFmtId="164" fontId="22" fillId="0" borderId="0" xfId="0" applyFont="1" applyBorder="1" applyAlignment="1">
      <alignment vertical="center"/>
    </xf>
    <xf numFmtId="44" fontId="22" fillId="0" borderId="0" xfId="1" applyFont="1" applyBorder="1" applyAlignment="1">
      <alignment horizontal="right" vertical="center"/>
    </xf>
    <xf numFmtId="44" fontId="12" fillId="0" borderId="0" xfId="1" applyFont="1" applyBorder="1" applyAlignment="1">
      <alignment horizontal="right" vertical="center"/>
    </xf>
    <xf numFmtId="164" fontId="21" fillId="0" borderId="0" xfId="0" applyFont="1" applyBorder="1" applyAlignment="1">
      <alignment vertical="center" wrapText="1"/>
    </xf>
    <xf numFmtId="164" fontId="21" fillId="0" borderId="0" xfId="0" applyFont="1" applyBorder="1" applyAlignment="1">
      <alignment horizontal="right" vertical="center"/>
    </xf>
    <xf numFmtId="164" fontId="21" fillId="0" borderId="0" xfId="0" applyFont="1" applyFill="1" applyBorder="1" applyAlignment="1">
      <alignment vertical="center"/>
    </xf>
    <xf numFmtId="164" fontId="22" fillId="0" borderId="0" xfId="0" applyFont="1" applyBorder="1" applyAlignment="1">
      <alignment vertical="center" wrapText="1"/>
    </xf>
    <xf numFmtId="44" fontId="22" fillId="0" borderId="0" xfId="1" applyFont="1" applyFill="1" applyBorder="1" applyAlignment="1">
      <alignment vertical="center"/>
    </xf>
    <xf numFmtId="44" fontId="22" fillId="0" borderId="0" xfId="1" applyFont="1" applyFill="1" applyBorder="1" applyAlignment="1">
      <alignment horizontal="right" vertical="center"/>
    </xf>
    <xf numFmtId="44" fontId="22" fillId="0" borderId="0" xfId="1" applyFont="1" applyBorder="1" applyAlignment="1">
      <alignment vertical="center"/>
    </xf>
    <xf numFmtId="164" fontId="23" fillId="0" borderId="0" xfId="0" applyFont="1"/>
    <xf numFmtId="164" fontId="24" fillId="0" borderId="0" xfId="0" applyFont="1"/>
    <xf numFmtId="44" fontId="3" fillId="0" borderId="0" xfId="1" applyFont="1"/>
    <xf numFmtId="44" fontId="3" fillId="0" borderId="0" xfId="1" applyFont="1" applyFill="1" applyBorder="1"/>
    <xf numFmtId="164" fontId="7" fillId="0" borderId="0" xfId="0" applyFont="1" applyFill="1" applyAlignment="1">
      <alignment vertical="center" wrapText="1"/>
    </xf>
    <xf numFmtId="164" fontId="7" fillId="0" borderId="0" xfId="0" applyFont="1" applyFill="1" applyAlignment="1">
      <alignment horizontal="right" vertical="center" wrapText="1"/>
    </xf>
    <xf numFmtId="14" fontId="7" fillId="0" borderId="0" xfId="0" applyNumberFormat="1" applyFont="1" applyFill="1" applyAlignment="1">
      <alignment horizontal="right" vertical="center" wrapText="1"/>
    </xf>
    <xf numFmtId="14" fontId="7" fillId="0" borderId="0" xfId="0" applyNumberFormat="1" applyFont="1" applyFill="1" applyBorder="1" applyAlignment="1">
      <alignment horizontal="right" vertical="center" wrapText="1"/>
    </xf>
    <xf numFmtId="164" fontId="7" fillId="0" borderId="0" xfId="0" applyFont="1" applyFill="1" applyAlignment="1">
      <alignment wrapText="1"/>
    </xf>
    <xf numFmtId="164" fontId="7" fillId="0" borderId="0" xfId="0" applyFont="1" applyFill="1" applyAlignment="1">
      <alignment horizontal="right" wrapText="1"/>
    </xf>
    <xf numFmtId="164" fontId="7" fillId="0" borderId="0" xfId="0" applyFont="1" applyFill="1" applyBorder="1" applyAlignment="1">
      <alignment horizontal="right" wrapText="1"/>
    </xf>
    <xf numFmtId="164" fontId="7" fillId="0" borderId="0" xfId="0" applyFont="1" applyFill="1" applyAlignment="1">
      <alignment horizontal="left" wrapText="1"/>
    </xf>
    <xf numFmtId="164" fontId="7" fillId="0" borderId="0" xfId="0" applyFont="1" applyFill="1" applyAlignment="1">
      <alignment horizontal="left"/>
    </xf>
    <xf numFmtId="164" fontId="7" fillId="0" borderId="0" xfId="0" applyFont="1" applyFill="1" applyBorder="1" applyAlignment="1">
      <alignment wrapText="1"/>
    </xf>
    <xf numFmtId="164" fontId="7" fillId="0" borderId="3" xfId="0" applyFont="1" applyFill="1" applyBorder="1" applyAlignment="1">
      <alignment wrapText="1"/>
    </xf>
    <xf numFmtId="164" fontId="6" fillId="0" borderId="0" xfId="0" applyFont="1" applyFill="1" applyAlignment="1">
      <alignment wrapText="1"/>
    </xf>
    <xf numFmtId="44" fontId="10" fillId="0" borderId="0" xfId="1" applyFont="1" applyFill="1" applyBorder="1" applyAlignment="1">
      <alignment wrapText="1"/>
    </xf>
    <xf numFmtId="44" fontId="25" fillId="4" borderId="13" xfId="4" applyNumberFormat="1" applyAlignment="1">
      <alignment horizontal="right" wrapText="1"/>
    </xf>
    <xf numFmtId="44" fontId="25" fillId="4" borderId="13" xfId="4" applyNumberFormat="1"/>
    <xf numFmtId="44" fontId="25" fillId="4" borderId="14" xfId="4" applyNumberFormat="1" applyBorder="1"/>
    <xf numFmtId="164" fontId="7" fillId="0" borderId="5" xfId="0" applyFont="1" applyBorder="1" applyAlignment="1">
      <alignment wrapText="1"/>
    </xf>
    <xf numFmtId="44" fontId="25" fillId="4" borderId="15" xfId="4" applyNumberFormat="1" applyBorder="1"/>
    <xf numFmtId="170" fontId="25" fillId="4" borderId="13" xfId="4" applyNumberFormat="1"/>
    <xf numFmtId="43" fontId="25" fillId="4" borderId="13" xfId="4" applyNumberFormat="1"/>
    <xf numFmtId="167" fontId="25" fillId="4" borderId="13" xfId="4" applyNumberFormat="1"/>
    <xf numFmtId="164" fontId="25" fillId="4" borderId="13" xfId="4" applyNumberFormat="1"/>
    <xf numFmtId="164" fontId="25" fillId="4" borderId="17" xfId="4" applyNumberFormat="1" applyBorder="1"/>
    <xf numFmtId="164" fontId="26" fillId="5" borderId="16" xfId="0" applyFont="1" applyFill="1" applyBorder="1"/>
    <xf numFmtId="164" fontId="20" fillId="5" borderId="17" xfId="0" applyFont="1" applyFill="1" applyBorder="1"/>
    <xf numFmtId="164" fontId="7" fillId="5" borderId="16" xfId="0" applyFont="1" applyFill="1" applyBorder="1" applyAlignment="1">
      <alignment horizontal="center"/>
    </xf>
    <xf numFmtId="14" fontId="7" fillId="5" borderId="17" xfId="0" applyNumberFormat="1" applyFont="1" applyFill="1" applyBorder="1" applyAlignment="1">
      <alignment horizontal="center"/>
    </xf>
    <xf numFmtId="167" fontId="7" fillId="0" borderId="0" xfId="2" applyNumberFormat="1" applyFont="1" applyBorder="1"/>
    <xf numFmtId="0" fontId="10" fillId="0" borderId="3" xfId="1" applyNumberFormat="1" applyFont="1" applyBorder="1"/>
    <xf numFmtId="164" fontId="27" fillId="0" borderId="0" xfId="0" applyFont="1" applyFill="1"/>
    <xf numFmtId="170" fontId="20" fillId="0" borderId="0" xfId="3" applyNumberFormat="1" applyFont="1" applyFill="1"/>
    <xf numFmtId="164" fontId="10" fillId="0" borderId="0" xfId="0" applyFont="1" applyFill="1"/>
    <xf numFmtId="164" fontId="8" fillId="0" borderId="0" xfId="0" applyFont="1" applyAlignment="1">
      <alignment horizontal="center"/>
    </xf>
    <xf numFmtId="165" fontId="10" fillId="3" borderId="0" xfId="1" applyNumberFormat="1" applyFont="1" applyFill="1"/>
    <xf numFmtId="164" fontId="8" fillId="0" borderId="0" xfId="0" applyFont="1" applyAlignment="1"/>
    <xf numFmtId="164" fontId="8" fillId="0" borderId="3" xfId="0" applyFont="1" applyBorder="1" applyAlignment="1">
      <alignment horizontal="center" wrapText="1"/>
    </xf>
    <xf numFmtId="164" fontId="16" fillId="0" borderId="18" xfId="0" applyFont="1" applyBorder="1"/>
    <xf numFmtId="164" fontId="7" fillId="0" borderId="19" xfId="0" applyFont="1" applyBorder="1"/>
    <xf numFmtId="164" fontId="17" fillId="0" borderId="19" xfId="0" applyFont="1" applyBorder="1"/>
    <xf numFmtId="164" fontId="7" fillId="0" borderId="20" xfId="0" applyFont="1" applyBorder="1"/>
    <xf numFmtId="166" fontId="7" fillId="0" borderId="21" xfId="2" applyNumberFormat="1" applyFont="1" applyBorder="1"/>
    <xf numFmtId="166" fontId="7" fillId="0" borderId="0" xfId="2" applyNumberFormat="1" applyFont="1" applyBorder="1"/>
    <xf numFmtId="164" fontId="7" fillId="0" borderId="22" xfId="0" applyFont="1" applyBorder="1"/>
    <xf numFmtId="9" fontId="7" fillId="0" borderId="21" xfId="2" applyNumberFormat="1" applyFont="1" applyBorder="1"/>
    <xf numFmtId="9" fontId="7" fillId="0" borderId="0" xfId="2" applyNumberFormat="1" applyFont="1" applyBorder="1"/>
    <xf numFmtId="10" fontId="8" fillId="0" borderId="24" xfId="2" applyNumberFormat="1" applyFont="1" applyBorder="1"/>
    <xf numFmtId="164" fontId="8" fillId="0" borderId="25" xfId="0" applyFont="1" applyBorder="1"/>
    <xf numFmtId="164" fontId="7" fillId="0" borderId="25" xfId="0" applyFont="1" applyBorder="1"/>
    <xf numFmtId="10" fontId="8" fillId="0" borderId="25" xfId="2" applyNumberFormat="1" applyFont="1" applyBorder="1"/>
    <xf numFmtId="164" fontId="7" fillId="0" borderId="26" xfId="0" applyFont="1" applyBorder="1"/>
    <xf numFmtId="166" fontId="10" fillId="0" borderId="5" xfId="2" applyNumberFormat="1" applyFont="1" applyFill="1" applyBorder="1"/>
    <xf numFmtId="166" fontId="10" fillId="0" borderId="23" xfId="2" applyNumberFormat="1" applyFont="1" applyFill="1" applyBorder="1"/>
    <xf numFmtId="44" fontId="28" fillId="0" borderId="0" xfId="1" applyFont="1" applyAlignment="1">
      <alignment horizontal="center"/>
    </xf>
    <xf numFmtId="171" fontId="7" fillId="0" borderId="0" xfId="1" applyNumberFormat="1" applyFont="1"/>
    <xf numFmtId="168" fontId="10" fillId="0" borderId="0" xfId="0" applyNumberFormat="1" applyFont="1" applyFill="1"/>
    <xf numFmtId="169" fontId="10" fillId="0" borderId="0" xfId="0" applyNumberFormat="1" applyFont="1" applyFill="1"/>
    <xf numFmtId="10" fontId="10" fillId="0" borderId="0" xfId="2" applyNumberFormat="1" applyFont="1" applyFill="1"/>
    <xf numFmtId="168" fontId="7" fillId="0" borderId="0" xfId="0" applyNumberFormat="1" applyFont="1" applyFill="1"/>
    <xf numFmtId="169" fontId="10" fillId="0" borderId="3" xfId="0" applyNumberFormat="1" applyFont="1" applyFill="1" applyBorder="1"/>
    <xf numFmtId="10" fontId="10" fillId="0" borderId="3" xfId="2" applyNumberFormat="1" applyFont="1" applyFill="1" applyBorder="1"/>
    <xf numFmtId="10" fontId="12" fillId="0" borderId="0" xfId="2" quotePrefix="1" applyNumberFormat="1" applyFont="1" applyFill="1" applyAlignment="1">
      <alignment horizontal="center"/>
    </xf>
    <xf numFmtId="10" fontId="12" fillId="0" borderId="0" xfId="0" applyNumberFormat="1" applyFont="1" applyFill="1" applyAlignment="1">
      <alignment horizontal="center"/>
    </xf>
    <xf numFmtId="166" fontId="12" fillId="0" borderId="0" xfId="2" applyNumberFormat="1" applyFont="1" applyFill="1" applyAlignment="1">
      <alignment horizontal="center"/>
    </xf>
    <xf numFmtId="164" fontId="3" fillId="0" borderId="0" xfId="0" quotePrefix="1" applyFont="1" applyFill="1" applyAlignment="1">
      <alignment horizontal="center"/>
    </xf>
    <xf numFmtId="10" fontId="3" fillId="0" borderId="0" xfId="0" applyNumberFormat="1" applyFont="1" applyFill="1" applyAlignment="1">
      <alignment horizontal="center"/>
    </xf>
    <xf numFmtId="10" fontId="12" fillId="0" borderId="3" xfId="0" applyNumberFormat="1" applyFont="1" applyFill="1" applyBorder="1" applyAlignment="1">
      <alignment horizontal="center"/>
    </xf>
    <xf numFmtId="10" fontId="3" fillId="0" borderId="3" xfId="0" quotePrefix="1" applyNumberFormat="1" applyFont="1" applyFill="1" applyBorder="1" applyAlignment="1">
      <alignment horizontal="center"/>
    </xf>
    <xf numFmtId="10" fontId="12" fillId="0" borderId="3" xfId="2" applyNumberFormat="1" applyFont="1" applyFill="1" applyBorder="1" applyAlignment="1">
      <alignment horizontal="center"/>
    </xf>
    <xf numFmtId="166" fontId="10" fillId="0" borderId="3" xfId="2" applyNumberFormat="1" applyFont="1" applyFill="1" applyBorder="1"/>
    <xf numFmtId="166" fontId="10" fillId="0" borderId="0" xfId="2" applyNumberFormat="1" applyFont="1" applyFill="1"/>
    <xf numFmtId="164" fontId="15" fillId="0" borderId="0" xfId="0" applyFont="1"/>
    <xf numFmtId="164" fontId="18" fillId="0" borderId="0" xfId="0" applyFont="1"/>
    <xf numFmtId="165" fontId="10" fillId="0" borderId="0" xfId="1" applyNumberFormat="1" applyFont="1" applyFill="1"/>
    <xf numFmtId="164" fontId="8" fillId="0" borderId="0" xfId="0" applyFont="1" applyAlignment="1">
      <alignment horizontal="center"/>
    </xf>
    <xf numFmtId="164" fontId="8" fillId="0" borderId="0" xfId="0" applyFont="1" applyBorder="1" applyAlignment="1">
      <alignment horizontal="center" wrapText="1"/>
    </xf>
    <xf numFmtId="44" fontId="7" fillId="0" borderId="0" xfId="1" applyFont="1" applyFill="1" applyBorder="1"/>
    <xf numFmtId="44" fontId="7" fillId="0" borderId="0" xfId="1" applyFont="1" applyBorder="1"/>
    <xf numFmtId="164" fontId="7" fillId="0" borderId="0" xfId="0" applyFont="1" applyBorder="1" applyAlignment="1">
      <alignment horizontal="center"/>
    </xf>
    <xf numFmtId="164" fontId="8" fillId="0" borderId="0" xfId="0" applyFont="1" applyAlignment="1">
      <alignment horizontal="left"/>
    </xf>
    <xf numFmtId="164" fontId="3" fillId="0" borderId="0" xfId="0" quotePrefix="1" applyFont="1" applyBorder="1" applyAlignment="1">
      <alignment horizontal="left" wrapText="1"/>
    </xf>
    <xf numFmtId="164" fontId="3" fillId="0" borderId="0" xfId="0" quotePrefix="1" applyFont="1" applyBorder="1" applyAlignment="1">
      <alignment wrapText="1"/>
    </xf>
    <xf numFmtId="44" fontId="8" fillId="0" borderId="0" xfId="1" applyFont="1" applyFill="1" applyBorder="1"/>
    <xf numFmtId="44" fontId="8" fillId="0" borderId="0" xfId="1" applyFont="1" applyFill="1"/>
    <xf numFmtId="164" fontId="8" fillId="0" borderId="0" xfId="0" applyFont="1" applyAlignment="1">
      <alignment horizontal="center"/>
    </xf>
    <xf numFmtId="164" fontId="8" fillId="0" borderId="3" xfId="0" applyFont="1" applyBorder="1" applyAlignment="1">
      <alignment horizontal="center"/>
    </xf>
  </cellXfs>
  <cellStyles count="5">
    <cellStyle name="Calculation" xfId="4" builtinId="22"/>
    <cellStyle name="Comma" xfId="3" builtinId="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48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I33"/>
  <sheetViews>
    <sheetView tabSelected="1" zoomScale="80" zoomScaleNormal="80" workbookViewId="0"/>
  </sheetViews>
  <sheetFormatPr defaultColWidth="8.88671875" defaultRowHeight="15.75" x14ac:dyDescent="0.25"/>
  <cols>
    <col min="1" max="1" width="51" style="1" bestFit="1" customWidth="1"/>
    <col min="2" max="2" width="10.6640625" style="1" customWidth="1"/>
    <col min="3" max="3" width="9.33203125" style="1" bestFit="1" customWidth="1"/>
    <col min="4" max="4" width="25.44140625" style="1" hidden="1" customWidth="1"/>
    <col min="5" max="5" width="12.88671875" style="1" hidden="1" customWidth="1"/>
    <col min="6" max="6" width="20.5546875" style="1" customWidth="1"/>
    <col min="7" max="7" width="12.88671875" style="1" hidden="1" customWidth="1"/>
    <col min="8" max="8" width="11.109375" style="1" hidden="1" customWidth="1"/>
    <col min="9" max="9" width="11.109375" style="1" bestFit="1" customWidth="1"/>
    <col min="10" max="16384" width="8.88671875" style="1"/>
  </cols>
  <sheetData>
    <row r="1" spans="1:9" x14ac:dyDescent="0.25">
      <c r="A1" s="187" t="s">
        <v>91</v>
      </c>
      <c r="B1" s="187"/>
      <c r="C1" s="182"/>
      <c r="D1" s="182"/>
      <c r="E1" s="182"/>
      <c r="F1" s="182"/>
      <c r="G1" s="182"/>
    </row>
    <row r="2" spans="1:9" x14ac:dyDescent="0.25">
      <c r="A2" s="187" t="s">
        <v>92</v>
      </c>
      <c r="B2" s="187"/>
      <c r="C2" s="182"/>
      <c r="D2" s="182"/>
      <c r="E2" s="182"/>
      <c r="F2" s="182"/>
      <c r="G2" s="182"/>
    </row>
    <row r="3" spans="1:9" x14ac:dyDescent="0.25">
      <c r="D3" s="38"/>
      <c r="E3" s="38"/>
      <c r="F3" s="141"/>
      <c r="G3" s="38"/>
    </row>
    <row r="4" spans="1:9" x14ac:dyDescent="0.25">
      <c r="D4" s="192" t="s">
        <v>105</v>
      </c>
      <c r="E4" s="192"/>
      <c r="F4" s="141"/>
      <c r="G4" s="192" t="s">
        <v>23</v>
      </c>
      <c r="H4" s="192"/>
      <c r="I4" s="192"/>
    </row>
    <row r="5" spans="1:9" ht="31.5" x14ac:dyDescent="0.25">
      <c r="D5" s="144" t="s">
        <v>199</v>
      </c>
      <c r="E5" s="144" t="s">
        <v>198</v>
      </c>
      <c r="F5" s="183" t="s">
        <v>196</v>
      </c>
      <c r="G5" s="84" t="s">
        <v>14</v>
      </c>
      <c r="H5" s="84" t="s">
        <v>16</v>
      </c>
      <c r="I5" s="84" t="s">
        <v>111</v>
      </c>
    </row>
    <row r="6" spans="1:9" x14ac:dyDescent="0.25">
      <c r="F6" s="75"/>
    </row>
    <row r="7" spans="1:9" x14ac:dyDescent="0.25">
      <c r="A7" s="1" t="s">
        <v>15</v>
      </c>
      <c r="D7" s="86">
        <f>Costs_Reference!B20+Costs_Reference!B24+Costs_Reference!B26</f>
        <v>5301.9540000000006</v>
      </c>
      <c r="E7" s="86">
        <f>Costs_Reference!C20+Costs_Reference!C24+Costs_Reference!C26</f>
        <v>7010.369333333334</v>
      </c>
      <c r="F7" s="184">
        <f>Costs_Reference!D20+Costs_Reference!D24+Costs_Reference!D26</f>
        <v>800.85</v>
      </c>
      <c r="G7" s="12">
        <f>Costs_Reference!B28</f>
        <v>14384.504499999999</v>
      </c>
      <c r="H7" s="12">
        <f>Costs_Reference!C28</f>
        <v>16092.919833333333</v>
      </c>
      <c r="I7" s="12">
        <f>AVERAGE(G7:H7)</f>
        <v>15238.712166666666</v>
      </c>
    </row>
    <row r="8" spans="1:9" x14ac:dyDescent="0.25">
      <c r="F8" s="75"/>
    </row>
    <row r="9" spans="1:9" x14ac:dyDescent="0.25">
      <c r="A9" s="1" t="s">
        <v>26</v>
      </c>
      <c r="C9" s="60">
        <f>'WACC - Carrying Charges'!$A$28</f>
        <v>0.20505639446583585</v>
      </c>
      <c r="D9" s="12">
        <f>D7*'WACC - Carrying Charges'!$A$28</f>
        <v>1087.1995708637164</v>
      </c>
      <c r="E9" s="12">
        <f>E7*'WACC - Carrying Charges'!$A$28</f>
        <v>1437.5210593671989</v>
      </c>
      <c r="F9" s="185">
        <f>F7*'WACC - Carrying Charges'!$A$35</f>
        <v>244.30441350796468</v>
      </c>
      <c r="G9" s="12">
        <f>G7*'WACC - Carrying Charges'!$A$28</f>
        <v>2949.6346289475905</v>
      </c>
      <c r="H9" s="12">
        <f>H7*'WACC - Carrying Charges'!$A$28</f>
        <v>3299.9561174510732</v>
      </c>
      <c r="I9" s="12">
        <f>I7*'WACC - Carrying Charges'!$A$28</f>
        <v>3124.7953731993321</v>
      </c>
    </row>
    <row r="10" spans="1:9" x14ac:dyDescent="0.25">
      <c r="F10" s="75"/>
    </row>
    <row r="11" spans="1:9" x14ac:dyDescent="0.25">
      <c r="A11" s="1" t="s">
        <v>61</v>
      </c>
      <c r="D11" s="12">
        <f>Costs_Reference!B32</f>
        <v>126</v>
      </c>
      <c r="E11" s="12">
        <f>Costs_Reference!C32</f>
        <v>126</v>
      </c>
      <c r="F11" s="185">
        <f>Costs_Reference!D32</f>
        <v>126</v>
      </c>
      <c r="G11" s="12">
        <f>D11</f>
        <v>126</v>
      </c>
      <c r="H11" s="12">
        <f>E11</f>
        <v>126</v>
      </c>
      <c r="I11" s="12">
        <f>AVERAGE(G11:H11)</f>
        <v>126</v>
      </c>
    </row>
    <row r="12" spans="1:9" x14ac:dyDescent="0.25">
      <c r="A12" s="75" t="s">
        <v>64</v>
      </c>
      <c r="B12" s="75"/>
      <c r="D12" s="15">
        <f>Costs_Reference!B33</f>
        <v>255</v>
      </c>
      <c r="E12" s="15">
        <f>Costs_Reference!C33</f>
        <v>510</v>
      </c>
      <c r="F12" s="185">
        <f>Costs_Reference!D33</f>
        <v>0</v>
      </c>
      <c r="G12" s="15">
        <f>D12</f>
        <v>255</v>
      </c>
      <c r="H12" s="15">
        <f>E12</f>
        <v>510</v>
      </c>
      <c r="I12" s="15">
        <f>G12</f>
        <v>255</v>
      </c>
    </row>
    <row r="13" spans="1:9" x14ac:dyDescent="0.25">
      <c r="D13" s="12">
        <f>SUM(D9:D12)</f>
        <v>1468.1995708637164</v>
      </c>
      <c r="E13" s="12">
        <f t="shared" ref="E13:I13" si="0">SUM(E9:E12)</f>
        <v>2073.5210593671991</v>
      </c>
      <c r="F13" s="185">
        <f t="shared" ref="F13" si="1">SUM(F9:F12)</f>
        <v>370.30441350796468</v>
      </c>
      <c r="G13" s="12">
        <f t="shared" si="0"/>
        <v>3330.6346289475905</v>
      </c>
      <c r="H13" s="12">
        <f t="shared" si="0"/>
        <v>3935.9561174510732</v>
      </c>
      <c r="I13" s="12">
        <f t="shared" si="0"/>
        <v>3505.7953731993321</v>
      </c>
    </row>
    <row r="14" spans="1:9" x14ac:dyDescent="0.25">
      <c r="F14" s="75"/>
    </row>
    <row r="15" spans="1:9" x14ac:dyDescent="0.25">
      <c r="A15" s="1" t="s">
        <v>108</v>
      </c>
      <c r="D15" s="12">
        <f>D13/12</f>
        <v>122.34996423864304</v>
      </c>
      <c r="E15" s="12">
        <f>E13/12</f>
        <v>172.79342161393325</v>
      </c>
      <c r="F15" s="185">
        <f>F13/12</f>
        <v>30.858701125663725</v>
      </c>
      <c r="G15" s="12">
        <f t="shared" ref="G15:I15" si="2">G13/12</f>
        <v>277.55288574563252</v>
      </c>
      <c r="H15" s="12">
        <f t="shared" si="2"/>
        <v>327.99634312092275</v>
      </c>
      <c r="I15" s="12">
        <f t="shared" si="2"/>
        <v>292.14961443327769</v>
      </c>
    </row>
    <row r="16" spans="1:9" x14ac:dyDescent="0.25">
      <c r="A16" s="1" t="s">
        <v>106</v>
      </c>
      <c r="D16" s="87" t="s">
        <v>107</v>
      </c>
      <c r="E16" s="87" t="s">
        <v>107</v>
      </c>
      <c r="F16" s="186" t="s">
        <v>107</v>
      </c>
      <c r="G16" s="86">
        <f>G13/365/'2019 EV Usage Data'!$B$27</f>
        <v>11.092484592296891</v>
      </c>
      <c r="H16" s="86">
        <f>H13/365/'2019 EV Usage Data'!$B$27</f>
        <v>13.108472544338554</v>
      </c>
      <c r="I16" s="86">
        <f>I13/365/'2019 EV Usage Data'!$B$27</f>
        <v>11.675847246339085</v>
      </c>
    </row>
    <row r="17" spans="1:9" x14ac:dyDescent="0.25">
      <c r="A17" s="1" t="s">
        <v>28</v>
      </c>
      <c r="C17" s="88">
        <f>'ECR FAC TCJA'!$B$23</f>
        <v>0.12469</v>
      </c>
      <c r="D17" s="12">
        <f>$C$17*'2019 EV Usage Data'!C38</f>
        <v>623.9933982172746</v>
      </c>
      <c r="E17" s="12">
        <f>D17*2</f>
        <v>1247.9867964345492</v>
      </c>
      <c r="F17" s="185">
        <f>D17</f>
        <v>623.9933982172746</v>
      </c>
      <c r="G17" s="12">
        <f>$C$17*'2019 EV Usage Data'!B38</f>
        <v>174.09227317472531</v>
      </c>
      <c r="H17" s="12">
        <f>G17*2</f>
        <v>348.18454634945061</v>
      </c>
      <c r="I17" s="89">
        <f>G17</f>
        <v>174.09227317472531</v>
      </c>
    </row>
    <row r="18" spans="1:9" x14ac:dyDescent="0.25">
      <c r="A18" s="1" t="s">
        <v>29</v>
      </c>
      <c r="D18" s="12">
        <f>D17/12</f>
        <v>51.99944985143955</v>
      </c>
      <c r="E18" s="12">
        <f t="shared" ref="E18:I18" si="3">E17/12</f>
        <v>103.9988997028791</v>
      </c>
      <c r="F18" s="185">
        <f t="shared" ref="F18" si="4">F17/12</f>
        <v>51.99944985143955</v>
      </c>
      <c r="G18" s="12">
        <f t="shared" si="3"/>
        <v>14.507689431227108</v>
      </c>
      <c r="H18" s="12">
        <f t="shared" si="3"/>
        <v>29.015378862454217</v>
      </c>
      <c r="I18" s="12">
        <f t="shared" si="3"/>
        <v>14.507689431227108</v>
      </c>
    </row>
    <row r="19" spans="1:9" x14ac:dyDescent="0.25">
      <c r="A19" s="1" t="s">
        <v>30</v>
      </c>
      <c r="D19" s="87" t="s">
        <v>107</v>
      </c>
      <c r="E19" s="87" t="s">
        <v>107</v>
      </c>
      <c r="F19" s="186" t="s">
        <v>107</v>
      </c>
      <c r="G19" s="12">
        <f>('2019 EV Usage Data'!$B$38*'KU Rate Summary'!$C$17)/365/'2019 EV Usage Data'!$B$27</f>
        <v>0.57980417336823686</v>
      </c>
      <c r="H19" s="12">
        <f>('2019 EV Usage Data'!$B$38*'KU Rate Summary'!$C$17*2)/365/'2019 EV Usage Data'!$B$27</f>
        <v>1.1596083467364737</v>
      </c>
      <c r="I19" s="89">
        <f>('2019 EV Usage Data'!$B$38*'KU Rate Summary'!$C$17)/365/'2019 EV Usage Data'!$B$27</f>
        <v>0.57980417336823686</v>
      </c>
    </row>
    <row r="20" spans="1:9" x14ac:dyDescent="0.25">
      <c r="A20" s="1" t="s">
        <v>17</v>
      </c>
      <c r="D20" s="40">
        <v>0</v>
      </c>
      <c r="E20" s="40">
        <v>0</v>
      </c>
      <c r="F20" s="42">
        <v>0</v>
      </c>
      <c r="G20" s="40">
        <v>0</v>
      </c>
      <c r="H20" s="40">
        <v>0</v>
      </c>
      <c r="I20" s="40">
        <v>0</v>
      </c>
    </row>
    <row r="21" spans="1:9" x14ac:dyDescent="0.25">
      <c r="A21" s="1" t="s">
        <v>18</v>
      </c>
      <c r="D21" s="40">
        <v>0</v>
      </c>
      <c r="E21" s="40">
        <v>0</v>
      </c>
      <c r="F21" s="42">
        <v>0</v>
      </c>
      <c r="G21" s="88">
        <f>'ECR FAC TCJA'!B26</f>
        <v>-1.5351300000000002E-2</v>
      </c>
      <c r="H21" s="88">
        <f t="shared" ref="H21:I24" si="5">G21</f>
        <v>-1.5351300000000002E-2</v>
      </c>
      <c r="I21" s="88">
        <f t="shared" si="5"/>
        <v>-1.5351300000000002E-2</v>
      </c>
    </row>
    <row r="22" spans="1:9" x14ac:dyDescent="0.25">
      <c r="A22" s="1" t="s">
        <v>202</v>
      </c>
      <c r="D22" s="40">
        <v>0</v>
      </c>
      <c r="E22" s="40">
        <v>0</v>
      </c>
      <c r="F22" s="42">
        <v>0</v>
      </c>
      <c r="G22" s="88">
        <f>'ECR FAC TCJA'!B29</f>
        <v>0</v>
      </c>
      <c r="H22" s="88">
        <f t="shared" si="5"/>
        <v>0</v>
      </c>
      <c r="I22" s="88">
        <f t="shared" si="5"/>
        <v>0</v>
      </c>
    </row>
    <row r="23" spans="1:9" x14ac:dyDescent="0.25">
      <c r="A23" s="1" t="s">
        <v>203</v>
      </c>
      <c r="D23" s="40">
        <v>0</v>
      </c>
      <c r="E23" s="40">
        <v>0</v>
      </c>
      <c r="F23" s="42">
        <v>0</v>
      </c>
      <c r="G23" s="88">
        <f>'ECR FAC TCJA'!C29</f>
        <v>0</v>
      </c>
      <c r="H23" s="88">
        <f t="shared" si="5"/>
        <v>0</v>
      </c>
      <c r="I23" s="88">
        <f t="shared" si="5"/>
        <v>0</v>
      </c>
    </row>
    <row r="24" spans="1:9" x14ac:dyDescent="0.25">
      <c r="A24" s="1" t="s">
        <v>21</v>
      </c>
      <c r="D24" s="40">
        <v>0</v>
      </c>
      <c r="E24" s="40">
        <v>0</v>
      </c>
      <c r="F24" s="42">
        <v>0</v>
      </c>
      <c r="G24" s="88">
        <f>'ECR FAC TCJA'!C26</f>
        <v>1.9629655447500005E-2</v>
      </c>
      <c r="H24" s="88">
        <f t="shared" si="5"/>
        <v>1.9629655447500005E-2</v>
      </c>
      <c r="I24" s="88">
        <f t="shared" si="5"/>
        <v>1.9629655447500005E-2</v>
      </c>
    </row>
    <row r="25" spans="1:9" x14ac:dyDescent="0.25">
      <c r="A25" s="1" t="s">
        <v>20</v>
      </c>
      <c r="D25" s="40">
        <v>0</v>
      </c>
      <c r="E25" s="40">
        <v>0</v>
      </c>
      <c r="F25" s="42">
        <v>0</v>
      </c>
      <c r="G25" s="40">
        <v>0</v>
      </c>
      <c r="H25" s="40">
        <v>0</v>
      </c>
      <c r="I25" s="40">
        <v>0</v>
      </c>
    </row>
    <row r="26" spans="1:9" x14ac:dyDescent="0.25">
      <c r="A26" s="1" t="s">
        <v>19</v>
      </c>
      <c r="D26" s="40">
        <v>0</v>
      </c>
      <c r="E26" s="40">
        <v>0</v>
      </c>
      <c r="F26" s="42">
        <v>0</v>
      </c>
      <c r="G26" s="40">
        <v>0</v>
      </c>
      <c r="H26" s="40">
        <v>0</v>
      </c>
      <c r="I26" s="40">
        <v>0</v>
      </c>
    </row>
    <row r="27" spans="1:9" x14ac:dyDescent="0.25">
      <c r="A27" s="1" t="s">
        <v>24</v>
      </c>
      <c r="D27" s="40">
        <v>0</v>
      </c>
      <c r="E27" s="40">
        <v>0</v>
      </c>
      <c r="F27" s="42">
        <v>0</v>
      </c>
      <c r="G27" s="40">
        <v>0</v>
      </c>
      <c r="H27" s="40">
        <v>0</v>
      </c>
      <c r="I27" s="40">
        <v>0</v>
      </c>
    </row>
    <row r="28" spans="1:9" x14ac:dyDescent="0.25">
      <c r="A28" s="1" t="s">
        <v>31</v>
      </c>
      <c r="D28" s="90">
        <f>D15+D18+D20+D21+D24+D25+D26+D27+D22+D23</f>
        <v>174.34941409008258</v>
      </c>
      <c r="E28" s="90">
        <f>E15+E18+E20+E21+E24+E25+E26+E27+E22+E23</f>
        <v>276.79232131681238</v>
      </c>
      <c r="F28" s="190">
        <f>F15+F18+F20+F21+F24+F25+F26+F27+F22+F23</f>
        <v>82.858150977103278</v>
      </c>
      <c r="G28" s="93"/>
      <c r="H28" s="93"/>
      <c r="I28" s="93"/>
    </row>
    <row r="29" spans="1:9" x14ac:dyDescent="0.25">
      <c r="A29" s="1" t="s">
        <v>25</v>
      </c>
      <c r="F29" s="78"/>
      <c r="G29" s="86">
        <f>SUM(G16,G19,G20,G21,G24,G25,G26,G27,G22,G23)</f>
        <v>11.676567121112628</v>
      </c>
      <c r="H29" s="86">
        <f>SUM(H16,H19,H20,H21,H24,H25,H26,H27,H22,H23)</f>
        <v>14.272359246522527</v>
      </c>
      <c r="I29" s="191">
        <f>SUM(I16,I19,I20,I21,I24,I25,I26,I27)</f>
        <v>12.259929775154822</v>
      </c>
    </row>
    <row r="30" spans="1:9" x14ac:dyDescent="0.25">
      <c r="A30" s="1" t="s">
        <v>113</v>
      </c>
      <c r="D30" s="90">
        <f>D15</f>
        <v>122.34996423864304</v>
      </c>
      <c r="E30" s="90">
        <f>E15</f>
        <v>172.79342161393325</v>
      </c>
      <c r="F30" s="190">
        <f>F15</f>
        <v>30.858701125663725</v>
      </c>
      <c r="G30" s="93"/>
      <c r="H30" s="93"/>
      <c r="I30" s="93"/>
    </row>
    <row r="32" spans="1:9" ht="60" x14ac:dyDescent="0.25">
      <c r="A32" s="188" t="s">
        <v>118</v>
      </c>
      <c r="B32" s="188"/>
    </row>
    <row r="33" spans="1:2" ht="31.5" x14ac:dyDescent="0.25">
      <c r="A33" s="2" t="s">
        <v>119</v>
      </c>
      <c r="B33" s="2"/>
    </row>
  </sheetData>
  <mergeCells count="2">
    <mergeCell ref="D4:E4"/>
    <mergeCell ref="G4:I4"/>
  </mergeCells>
  <pageMargins left="0.7" right="0.7" top="0.75" bottom="0.75" header="0.3" footer="0.3"/>
  <pageSetup scale="82" orientation="portrait" r:id="rId1"/>
  <headerFooter>
    <oddHeader>&amp;R&amp;"-,Bold"Exhibit WSS-11
Page 1 of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I33"/>
  <sheetViews>
    <sheetView zoomScale="80" zoomScaleNormal="80" workbookViewId="0"/>
  </sheetViews>
  <sheetFormatPr defaultColWidth="8.88671875" defaultRowHeight="15.75" x14ac:dyDescent="0.25"/>
  <cols>
    <col min="1" max="1" width="51" style="1" bestFit="1" customWidth="1"/>
    <col min="2" max="2" width="12.33203125" style="1" customWidth="1"/>
    <col min="3" max="3" width="9.33203125" style="1" bestFit="1" customWidth="1"/>
    <col min="4" max="5" width="12.88671875" style="1" hidden="1" customWidth="1"/>
    <col min="6" max="6" width="19.21875" style="1" customWidth="1"/>
    <col min="7" max="7" width="12.21875" style="1" hidden="1" customWidth="1"/>
    <col min="8" max="8" width="11.109375" style="1" hidden="1" customWidth="1"/>
    <col min="9" max="9" width="26.88671875" style="1" customWidth="1"/>
    <col min="10" max="16384" width="8.88671875" style="1"/>
  </cols>
  <sheetData>
    <row r="1" spans="1:9" x14ac:dyDescent="0.25">
      <c r="A1" s="187" t="s">
        <v>112</v>
      </c>
      <c r="B1" s="187"/>
      <c r="C1" s="182"/>
      <c r="D1" s="182"/>
      <c r="E1" s="182"/>
      <c r="F1" s="182"/>
    </row>
    <row r="2" spans="1:9" x14ac:dyDescent="0.25">
      <c r="A2" s="187" t="s">
        <v>92</v>
      </c>
      <c r="B2" s="187"/>
      <c r="C2" s="182"/>
      <c r="D2" s="182"/>
      <c r="E2" s="182"/>
      <c r="F2" s="182"/>
    </row>
    <row r="3" spans="1:9" x14ac:dyDescent="0.25">
      <c r="D3" s="85"/>
      <c r="E3" s="85"/>
      <c r="F3" s="85"/>
    </row>
    <row r="4" spans="1:9" x14ac:dyDescent="0.25">
      <c r="D4" s="192" t="s">
        <v>105</v>
      </c>
      <c r="E4" s="192"/>
      <c r="G4" s="143" t="s">
        <v>23</v>
      </c>
      <c r="H4" s="143"/>
      <c r="I4" s="141" t="s">
        <v>23</v>
      </c>
    </row>
    <row r="5" spans="1:9" ht="31.5" x14ac:dyDescent="0.25">
      <c r="D5" s="144" t="s">
        <v>199</v>
      </c>
      <c r="E5" s="144" t="s">
        <v>198</v>
      </c>
      <c r="F5" s="183" t="s">
        <v>196</v>
      </c>
      <c r="G5" s="84" t="s">
        <v>14</v>
      </c>
      <c r="H5" s="84" t="s">
        <v>16</v>
      </c>
      <c r="I5" s="84" t="s">
        <v>111</v>
      </c>
    </row>
    <row r="6" spans="1:9" x14ac:dyDescent="0.25">
      <c r="F6" s="75"/>
    </row>
    <row r="7" spans="1:9" x14ac:dyDescent="0.25">
      <c r="A7" s="1" t="s">
        <v>15</v>
      </c>
      <c r="D7" s="86">
        <f>Costs_Reference!B20+Costs_Reference!B24+Costs_Reference!B26</f>
        <v>5301.9540000000006</v>
      </c>
      <c r="E7" s="86">
        <f>Costs_Reference!C20+Costs_Reference!C24+Costs_Reference!C26</f>
        <v>7010.369333333334</v>
      </c>
      <c r="F7" s="184">
        <f>Costs_Reference!D20+Costs_Reference!D24+Costs_Reference!D26</f>
        <v>800.85</v>
      </c>
      <c r="G7" s="12">
        <f>Costs_Reference!B28</f>
        <v>14384.504499999999</v>
      </c>
      <c r="H7" s="12">
        <f>Costs_Reference!C28</f>
        <v>16092.919833333333</v>
      </c>
      <c r="I7" s="12">
        <f>AVERAGE(G7:H7)</f>
        <v>15238.712166666666</v>
      </c>
    </row>
    <row r="8" spans="1:9" x14ac:dyDescent="0.25">
      <c r="F8" s="75"/>
    </row>
    <row r="9" spans="1:9" x14ac:dyDescent="0.25">
      <c r="A9" s="1" t="s">
        <v>26</v>
      </c>
      <c r="C9" s="60">
        <f>'WACC - Carrying Charges'!$I$28</f>
        <v>0.20703334245654026</v>
      </c>
      <c r="D9" s="12">
        <f>D7*'WACC - Carrying Charges'!$I$28</f>
        <v>1097.6812581708236</v>
      </c>
      <c r="E9" s="12">
        <f>E7*'WACC - Carrying Charges'!$I$28</f>
        <v>1451.3801949348281</v>
      </c>
      <c r="F9" s="185">
        <f>F7*'WACC - Carrying Charges'!$I$35</f>
        <v>245.88765230632026</v>
      </c>
      <c r="G9" s="12">
        <f>G7*'WACC - Carrying Charges'!$I$28</f>
        <v>2978.0720462161444</v>
      </c>
      <c r="H9" s="12">
        <f>H7*'WACC - Carrying Charges'!$I$28</f>
        <v>3331.7709829801488</v>
      </c>
      <c r="I9" s="12">
        <f>I7*'WACC - Carrying Charges'!$I$28</f>
        <v>3154.9215145981466</v>
      </c>
    </row>
    <row r="10" spans="1:9" x14ac:dyDescent="0.25">
      <c r="F10" s="75"/>
    </row>
    <row r="11" spans="1:9" x14ac:dyDescent="0.25">
      <c r="A11" s="1" t="s">
        <v>61</v>
      </c>
      <c r="D11" s="12">
        <f>Costs_Reference!B32</f>
        <v>126</v>
      </c>
      <c r="E11" s="12">
        <f>Costs_Reference!C32</f>
        <v>126</v>
      </c>
      <c r="F11" s="185">
        <f>Costs_Reference!D32</f>
        <v>126</v>
      </c>
      <c r="G11" s="12">
        <f>D11</f>
        <v>126</v>
      </c>
      <c r="H11" s="12">
        <f>E11</f>
        <v>126</v>
      </c>
      <c r="I11" s="12">
        <f>AVERAGE(G11:H11)</f>
        <v>126</v>
      </c>
    </row>
    <row r="12" spans="1:9" x14ac:dyDescent="0.25">
      <c r="A12" s="75" t="s">
        <v>64</v>
      </c>
      <c r="B12" s="75"/>
      <c r="D12" s="15">
        <f>Costs_Reference!B33</f>
        <v>255</v>
      </c>
      <c r="E12" s="15">
        <f>Costs_Reference!C33</f>
        <v>510</v>
      </c>
      <c r="F12" s="185">
        <f>Costs_Reference!D33</f>
        <v>0</v>
      </c>
      <c r="G12" s="15">
        <f>D12</f>
        <v>255</v>
      </c>
      <c r="H12" s="15">
        <f>E12</f>
        <v>510</v>
      </c>
      <c r="I12" s="15">
        <f>G12</f>
        <v>255</v>
      </c>
    </row>
    <row r="13" spans="1:9" x14ac:dyDescent="0.25">
      <c r="D13" s="12">
        <f>SUM(D9:D12)</f>
        <v>1478.6812581708236</v>
      </c>
      <c r="E13" s="12">
        <f t="shared" ref="E13:F13" si="0">SUM(E9:E12)</f>
        <v>2087.3801949348281</v>
      </c>
      <c r="F13" s="185">
        <f t="shared" si="0"/>
        <v>371.88765230632026</v>
      </c>
      <c r="G13" s="12">
        <f>SUM(G9:G12)</f>
        <v>3359.0720462161444</v>
      </c>
      <c r="H13" s="12">
        <f>SUM(H9:H12)</f>
        <v>3967.7709829801488</v>
      </c>
      <c r="I13" s="12">
        <f>SUM(I9:I12)</f>
        <v>3535.9215145981466</v>
      </c>
    </row>
    <row r="14" spans="1:9" x14ac:dyDescent="0.25">
      <c r="F14" s="75"/>
    </row>
    <row r="15" spans="1:9" x14ac:dyDescent="0.25">
      <c r="A15" s="1" t="s">
        <v>108</v>
      </c>
      <c r="D15" s="12">
        <f>D13/12</f>
        <v>123.22343818090197</v>
      </c>
      <c r="E15" s="12">
        <f>E13/12</f>
        <v>173.94834957790235</v>
      </c>
      <c r="F15" s="185">
        <f>F13/12</f>
        <v>30.990637692193356</v>
      </c>
      <c r="G15" s="12">
        <f t="shared" ref="G15:H15" si="1">G13/12</f>
        <v>279.92267051801201</v>
      </c>
      <c r="H15" s="12">
        <f t="shared" si="1"/>
        <v>330.64758191501238</v>
      </c>
      <c r="I15" s="12">
        <f>I13/12</f>
        <v>294.6601262165122</v>
      </c>
    </row>
    <row r="16" spans="1:9" x14ac:dyDescent="0.25">
      <c r="A16" s="1" t="s">
        <v>106</v>
      </c>
      <c r="D16" s="87" t="s">
        <v>107</v>
      </c>
      <c r="E16" s="87" t="s">
        <v>107</v>
      </c>
      <c r="F16" s="186" t="s">
        <v>107</v>
      </c>
      <c r="G16" s="86">
        <f>G13/365/'2019 EV Usage Data'!$B$27</f>
        <v>11.187193753774572</v>
      </c>
      <c r="H16" s="86">
        <f>H13/365/'2019 EV Usage Data'!$B$27</f>
        <v>13.214430100481176</v>
      </c>
      <c r="I16" s="86">
        <f>I13/365/'2019 EV Usage Data'!$B$27</f>
        <v>11.776180605149232</v>
      </c>
    </row>
    <row r="17" spans="1:9" x14ac:dyDescent="0.25">
      <c r="A17" s="1" t="s">
        <v>28</v>
      </c>
      <c r="C17" s="88">
        <f>'ECR FAC TCJA'!$G$23</f>
        <v>0.12354999999999999</v>
      </c>
      <c r="D17" s="12">
        <f>$C$17*'2019 EV Usage Data'!C38</f>
        <v>618.28843010461367</v>
      </c>
      <c r="E17" s="12">
        <f>D17*2</f>
        <v>1236.5768602092273</v>
      </c>
      <c r="F17" s="185">
        <f>D17</f>
        <v>618.28843010461367</v>
      </c>
      <c r="G17" s="12">
        <f>$C$17*'2019 EV Usage Data'!B38</f>
        <v>172.50060430457384</v>
      </c>
      <c r="H17" s="12">
        <f>G17*2</f>
        <v>345.00120860914768</v>
      </c>
      <c r="I17" s="89">
        <f>G17</f>
        <v>172.50060430457384</v>
      </c>
    </row>
    <row r="18" spans="1:9" x14ac:dyDescent="0.25">
      <c r="A18" s="1" t="s">
        <v>29</v>
      </c>
      <c r="D18" s="12">
        <f>D17/12</f>
        <v>51.524035842051141</v>
      </c>
      <c r="E18" s="12">
        <f t="shared" ref="E18:F18" si="2">E17/12</f>
        <v>103.04807168410228</v>
      </c>
      <c r="F18" s="185">
        <f t="shared" si="2"/>
        <v>51.524035842051141</v>
      </c>
      <c r="G18" s="12">
        <f>G17/12</f>
        <v>14.375050358714487</v>
      </c>
      <c r="H18" s="12">
        <f>H17/12</f>
        <v>28.750100717428975</v>
      </c>
      <c r="I18" s="12">
        <f>I17/12</f>
        <v>14.375050358714487</v>
      </c>
    </row>
    <row r="19" spans="1:9" x14ac:dyDescent="0.25">
      <c r="A19" s="1" t="s">
        <v>30</v>
      </c>
      <c r="D19" s="87" t="s">
        <v>107</v>
      </c>
      <c r="E19" s="87" t="s">
        <v>107</v>
      </c>
      <c r="F19" s="186" t="s">
        <v>107</v>
      </c>
      <c r="G19" s="12">
        <f>('2019 EV Usage Data'!$B$38*'LGE Rate Summary'!$C$17)/365/'2019 EV Usage Data'!$B$27</f>
        <v>0.57450321292521978</v>
      </c>
      <c r="H19" s="12">
        <f>('2019 EV Usage Data'!$B$38*'LGE Rate Summary'!$C$17*2)/365/'2019 EV Usage Data'!$B$27</f>
        <v>1.1490064258504396</v>
      </c>
      <c r="I19" s="89">
        <f>('2019 EV Usage Data'!$B$38*'LGE Rate Summary'!$C$17)/365/'2019 EV Usage Data'!$B$27</f>
        <v>0.57450321292521978</v>
      </c>
    </row>
    <row r="20" spans="1:9" x14ac:dyDescent="0.25">
      <c r="A20" s="1" t="s">
        <v>17</v>
      </c>
      <c r="D20" s="40">
        <v>0</v>
      </c>
      <c r="E20" s="40">
        <v>0</v>
      </c>
      <c r="F20" s="42">
        <v>0</v>
      </c>
      <c r="G20" s="40">
        <v>0</v>
      </c>
      <c r="H20" s="40">
        <v>0</v>
      </c>
      <c r="I20" s="40">
        <v>0</v>
      </c>
    </row>
    <row r="21" spans="1:9" x14ac:dyDescent="0.25">
      <c r="A21" s="1" t="s">
        <v>18</v>
      </c>
      <c r="D21" s="40">
        <v>0</v>
      </c>
      <c r="E21" s="40">
        <v>0</v>
      </c>
      <c r="F21" s="42">
        <v>0</v>
      </c>
      <c r="G21" s="88">
        <f>'ECR FAC TCJA'!G26</f>
        <v>-3.615008333333333E-3</v>
      </c>
      <c r="H21" s="88">
        <f t="shared" ref="H21:H24" si="3">G21</f>
        <v>-3.615008333333333E-3</v>
      </c>
      <c r="I21" s="88">
        <f>H21</f>
        <v>-3.615008333333333E-3</v>
      </c>
    </row>
    <row r="22" spans="1:9" x14ac:dyDescent="0.25">
      <c r="A22" s="1" t="s">
        <v>202</v>
      </c>
      <c r="D22" s="40">
        <v>0</v>
      </c>
      <c r="E22" s="40">
        <v>0</v>
      </c>
      <c r="F22" s="42">
        <v>0</v>
      </c>
      <c r="G22" s="88">
        <f>'ECR FAC TCJA'!G29</f>
        <v>0</v>
      </c>
      <c r="H22" s="88">
        <f t="shared" si="3"/>
        <v>0</v>
      </c>
      <c r="I22" s="88">
        <f t="shared" ref="I22:I23" si="4">H22</f>
        <v>0</v>
      </c>
    </row>
    <row r="23" spans="1:9" x14ac:dyDescent="0.25">
      <c r="A23" s="1" t="s">
        <v>203</v>
      </c>
      <c r="D23" s="40">
        <v>0</v>
      </c>
      <c r="E23" s="40">
        <v>0</v>
      </c>
      <c r="F23" s="42">
        <v>0</v>
      </c>
      <c r="G23" s="88">
        <f>'ECR FAC TCJA'!H29</f>
        <v>0</v>
      </c>
      <c r="H23" s="88">
        <f t="shared" si="3"/>
        <v>0</v>
      </c>
      <c r="I23" s="88">
        <f t="shared" si="4"/>
        <v>0</v>
      </c>
    </row>
    <row r="24" spans="1:9" x14ac:dyDescent="0.25">
      <c r="A24" s="1" t="s">
        <v>21</v>
      </c>
      <c r="D24" s="40">
        <v>0</v>
      </c>
      <c r="E24" s="40">
        <v>0</v>
      </c>
      <c r="F24" s="42">
        <v>0</v>
      </c>
      <c r="G24" s="88">
        <f>'ECR FAC TCJA'!H26</f>
        <v>2.3823699757500004E-2</v>
      </c>
      <c r="H24" s="88">
        <f t="shared" si="3"/>
        <v>2.3823699757500004E-2</v>
      </c>
      <c r="I24" s="88">
        <f>H24</f>
        <v>2.3823699757500004E-2</v>
      </c>
    </row>
    <row r="25" spans="1:9" x14ac:dyDescent="0.25">
      <c r="A25" s="1" t="s">
        <v>20</v>
      </c>
      <c r="D25" s="40">
        <v>0</v>
      </c>
      <c r="E25" s="40">
        <v>0</v>
      </c>
      <c r="F25" s="42">
        <v>0</v>
      </c>
      <c r="G25" s="40">
        <v>0</v>
      </c>
      <c r="H25" s="40">
        <v>0</v>
      </c>
      <c r="I25" s="40">
        <v>0</v>
      </c>
    </row>
    <row r="26" spans="1:9" x14ac:dyDescent="0.25">
      <c r="A26" s="1" t="s">
        <v>19</v>
      </c>
      <c r="D26" s="40">
        <v>0</v>
      </c>
      <c r="E26" s="40">
        <v>0</v>
      </c>
      <c r="F26" s="42">
        <v>0</v>
      </c>
      <c r="G26" s="40">
        <v>0</v>
      </c>
      <c r="H26" s="40">
        <v>0</v>
      </c>
      <c r="I26" s="40">
        <v>0</v>
      </c>
    </row>
    <row r="27" spans="1:9" x14ac:dyDescent="0.25">
      <c r="A27" s="1" t="s">
        <v>24</v>
      </c>
      <c r="D27" s="40">
        <v>0</v>
      </c>
      <c r="E27" s="40">
        <v>0</v>
      </c>
      <c r="F27" s="42">
        <v>0</v>
      </c>
      <c r="G27" s="40">
        <v>0</v>
      </c>
      <c r="H27" s="40">
        <v>0</v>
      </c>
      <c r="I27" s="40">
        <v>0</v>
      </c>
    </row>
    <row r="28" spans="1:9" x14ac:dyDescent="0.25">
      <c r="A28" s="1" t="s">
        <v>31</v>
      </c>
      <c r="D28" s="90">
        <f>D15+D18+D20+D21+D24+D25+D26+D27+D22+D23</f>
        <v>174.7474740229531</v>
      </c>
      <c r="E28" s="90">
        <f>E15+E18+E20+E21+E24+E25+E26+E27+E22+E23</f>
        <v>276.99642126200462</v>
      </c>
      <c r="F28" s="190">
        <f>F15+F18+F20+F21+F24+F25+F26+F27+F22+F23</f>
        <v>82.514673534244494</v>
      </c>
      <c r="G28" s="93"/>
      <c r="H28" s="93"/>
      <c r="I28" s="93"/>
    </row>
    <row r="29" spans="1:9" x14ac:dyDescent="0.25">
      <c r="A29" s="1" t="s">
        <v>25</v>
      </c>
      <c r="F29" s="78"/>
      <c r="G29" s="86">
        <f>SUM(G16,G19,G20,G21,G24,G25,G26,G27,G22,G23)</f>
        <v>11.781905658123959</v>
      </c>
      <c r="H29" s="86">
        <f>SUM(H16,H19,H20,H21,H24,H25,H26,H27,H22,H23)</f>
        <v>14.383645217755781</v>
      </c>
      <c r="I29" s="191">
        <f>SUM(I16,I19,I20,I21,I24,I25,I26,I27,I22,I23)</f>
        <v>12.370892509498619</v>
      </c>
    </row>
    <row r="30" spans="1:9" x14ac:dyDescent="0.25">
      <c r="A30" s="1" t="s">
        <v>113</v>
      </c>
      <c r="D30" s="90">
        <f>D15</f>
        <v>123.22343818090197</v>
      </c>
      <c r="E30" s="90">
        <f>E15</f>
        <v>173.94834957790235</v>
      </c>
      <c r="F30" s="190">
        <f>F15</f>
        <v>30.990637692193356</v>
      </c>
      <c r="G30" s="93"/>
      <c r="H30" s="93"/>
      <c r="I30" s="93"/>
    </row>
    <row r="32" spans="1:9" ht="60" x14ac:dyDescent="0.25">
      <c r="A32" s="189" t="s">
        <v>118</v>
      </c>
      <c r="B32" s="189"/>
    </row>
    <row r="33" spans="1:2" ht="31.5" x14ac:dyDescent="0.25">
      <c r="A33" s="2" t="s">
        <v>119</v>
      </c>
      <c r="B33" s="2"/>
    </row>
  </sheetData>
  <mergeCells count="1">
    <mergeCell ref="D4:E4"/>
  </mergeCells>
  <pageMargins left="0.7" right="0.7" top="0.75" bottom="0.75" header="0.3" footer="0.3"/>
  <pageSetup scale="82" orientation="portrait" r:id="rId1"/>
  <headerFooter>
    <oddHeader>&amp;R&amp;"-,Bold"Exhibit WSS-11
Page 2 of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I33"/>
  <sheetViews>
    <sheetView zoomScale="80" zoomScaleNormal="80" workbookViewId="0"/>
  </sheetViews>
  <sheetFormatPr defaultColWidth="8.88671875" defaultRowHeight="15" x14ac:dyDescent="0.25"/>
  <cols>
    <col min="1" max="1" width="10.109375" style="17" bestFit="1" customWidth="1"/>
    <col min="2" max="2" width="43.88671875" style="17" bestFit="1" customWidth="1"/>
    <col min="3" max="3" width="9.88671875" style="17" bestFit="1" customWidth="1"/>
    <col min="4" max="4" width="7.88671875" style="17" bestFit="1" customWidth="1"/>
    <col min="5" max="5" width="8.88671875" style="17"/>
    <col min="6" max="6" width="10.109375" style="17" bestFit="1" customWidth="1"/>
    <col min="7" max="7" width="43.88671875" style="17" bestFit="1" customWidth="1"/>
    <col min="8" max="8" width="9.88671875" style="17" bestFit="1" customWidth="1"/>
    <col min="9" max="9" width="7.88671875" style="17" bestFit="1" customWidth="1"/>
    <col min="10" max="16384" width="8.88671875" style="17"/>
  </cols>
  <sheetData>
    <row r="2" spans="1:9" x14ac:dyDescent="0.25">
      <c r="A2" s="105" t="s">
        <v>120</v>
      </c>
      <c r="F2" s="106" t="s">
        <v>162</v>
      </c>
    </row>
    <row r="3" spans="1:9" x14ac:dyDescent="0.25">
      <c r="A3" s="94" t="s">
        <v>121</v>
      </c>
      <c r="B3" s="94" t="s">
        <v>122</v>
      </c>
      <c r="C3" s="94" t="s">
        <v>123</v>
      </c>
      <c r="D3" s="100" t="s">
        <v>124</v>
      </c>
      <c r="F3" s="94" t="s">
        <v>121</v>
      </c>
      <c r="G3" s="94" t="s">
        <v>122</v>
      </c>
      <c r="H3" s="94" t="s">
        <v>123</v>
      </c>
      <c r="I3" s="100" t="s">
        <v>124</v>
      </c>
    </row>
    <row r="4" spans="1:9" x14ac:dyDescent="0.25">
      <c r="A4" s="95" t="s">
        <v>125</v>
      </c>
      <c r="B4" s="95" t="s">
        <v>126</v>
      </c>
      <c r="C4" s="96">
        <v>0.26</v>
      </c>
      <c r="D4" s="108">
        <f>ROUND('KU Rate Summary'!I19-SUM(D6,D7),2)</f>
        <v>0.4</v>
      </c>
      <c r="F4" s="95" t="s">
        <v>161</v>
      </c>
      <c r="G4" s="95" t="s">
        <v>126</v>
      </c>
      <c r="H4" s="96">
        <v>0.02</v>
      </c>
      <c r="I4" s="108">
        <f>ROUND('LGE Rate Summary'!I19-SUM(I6,I7),2)</f>
        <v>0.39</v>
      </c>
    </row>
    <row r="5" spans="1:9" x14ac:dyDescent="0.25">
      <c r="A5" s="95" t="s">
        <v>125</v>
      </c>
      <c r="B5" s="95" t="s">
        <v>127</v>
      </c>
      <c r="C5" s="96">
        <v>0.01</v>
      </c>
      <c r="D5" s="108">
        <f>ROUND('KU Rate Summary'!I24,2)</f>
        <v>0.02</v>
      </c>
      <c r="F5" s="95" t="s">
        <v>161</v>
      </c>
      <c r="G5" s="95" t="s">
        <v>127</v>
      </c>
      <c r="H5" s="96">
        <v>0.03</v>
      </c>
      <c r="I5" s="108">
        <f>ROUND('LGE Rate Summary'!I24,2)</f>
        <v>0.02</v>
      </c>
    </row>
    <row r="6" spans="1:9" x14ac:dyDescent="0.25">
      <c r="A6" s="95" t="s">
        <v>125</v>
      </c>
      <c r="B6" s="95" t="s">
        <v>128</v>
      </c>
      <c r="C6" s="96">
        <v>0.04</v>
      </c>
      <c r="D6" s="108">
        <f>ROUND(('2019 EV Usage Data'!$B$38*'ECR FAC TCJA'!$B$19)/365/'2019 EV Usage Data'!$B$27,2)</f>
        <v>7.0000000000000007E-2</v>
      </c>
      <c r="F6" s="95" t="s">
        <v>161</v>
      </c>
      <c r="G6" s="95" t="s">
        <v>128</v>
      </c>
      <c r="H6" s="96">
        <v>0.11</v>
      </c>
      <c r="I6" s="108">
        <f>ROUND(('2019 EV Usage Data'!$B$38*'ECR FAC TCJA'!$G$19)/365/'2019 EV Usage Data'!$B$27,2)</f>
        <v>7.0000000000000007E-2</v>
      </c>
    </row>
    <row r="7" spans="1:9" x14ac:dyDescent="0.25">
      <c r="A7" s="95" t="s">
        <v>125</v>
      </c>
      <c r="B7" s="95" t="s">
        <v>129</v>
      </c>
      <c r="C7" s="96">
        <v>0.12</v>
      </c>
      <c r="D7" s="108">
        <f>ROUND(('2019 EV Usage Data'!$B$38*'ECR FAC TCJA'!$B$17)/365/'2019 EV Usage Data'!$B$27,2)</f>
        <v>0.11</v>
      </c>
      <c r="F7" s="95" t="s">
        <v>161</v>
      </c>
      <c r="G7" s="95" t="s">
        <v>129</v>
      </c>
      <c r="H7" s="96">
        <v>0.26</v>
      </c>
      <c r="I7" s="108">
        <f>ROUND(('2019 EV Usage Data'!$B$38*'ECR FAC TCJA'!$G$17)/365/'2019 EV Usage Data'!$B$27,2)</f>
        <v>0.11</v>
      </c>
    </row>
    <row r="8" spans="1:9" x14ac:dyDescent="0.25">
      <c r="A8" s="95" t="s">
        <v>125</v>
      </c>
      <c r="B8" s="95" t="s">
        <v>130</v>
      </c>
      <c r="C8" s="96">
        <v>-0.02</v>
      </c>
      <c r="D8" s="108">
        <f>ROUND('KU Rate Summary'!I21,2)</f>
        <v>-0.02</v>
      </c>
      <c r="F8" s="95" t="s">
        <v>161</v>
      </c>
      <c r="G8" s="95" t="s">
        <v>130</v>
      </c>
      <c r="H8" s="96">
        <v>-0.01</v>
      </c>
      <c r="I8" s="108">
        <f>ROUND('LGE Rate Summary'!I21,2)</f>
        <v>0</v>
      </c>
    </row>
    <row r="9" spans="1:9" x14ac:dyDescent="0.25">
      <c r="A9" s="95" t="s">
        <v>125</v>
      </c>
      <c r="B9" s="95" t="s">
        <v>131</v>
      </c>
      <c r="C9" s="96">
        <v>2.84</v>
      </c>
      <c r="D9" s="97">
        <v>0.75</v>
      </c>
      <c r="F9" s="95" t="s">
        <v>161</v>
      </c>
      <c r="G9" s="95" t="s">
        <v>131</v>
      </c>
      <c r="H9" s="96">
        <v>2.86</v>
      </c>
      <c r="I9" s="97">
        <v>0.75</v>
      </c>
    </row>
    <row r="10" spans="1:9" x14ac:dyDescent="0.25">
      <c r="A10" s="95" t="s">
        <v>125</v>
      </c>
      <c r="B10" s="95" t="s">
        <v>132</v>
      </c>
      <c r="C10" s="96">
        <v>2.4300000000000002</v>
      </c>
      <c r="D10" s="108">
        <f>ROUND(D9-SUM(D4:D8),2)</f>
        <v>0.17</v>
      </c>
      <c r="F10" s="95" t="s">
        <v>161</v>
      </c>
      <c r="G10" s="95" t="s">
        <v>132</v>
      </c>
      <c r="H10" s="96">
        <v>2.4500000000000002</v>
      </c>
      <c r="I10" s="108">
        <f>ROUND(I9-SUM(I4:I8),2)</f>
        <v>0.16</v>
      </c>
    </row>
    <row r="11" spans="1:9" x14ac:dyDescent="0.25">
      <c r="A11" s="95" t="s">
        <v>125</v>
      </c>
      <c r="B11" s="95" t="s">
        <v>133</v>
      </c>
      <c r="C11" s="96">
        <v>0.26</v>
      </c>
      <c r="D11" s="108">
        <f>D4</f>
        <v>0.4</v>
      </c>
      <c r="F11" s="95" t="s">
        <v>161</v>
      </c>
      <c r="G11" s="95" t="s">
        <v>133</v>
      </c>
      <c r="H11" s="96">
        <v>0.02</v>
      </c>
      <c r="I11" s="108">
        <f>I4</f>
        <v>0.39</v>
      </c>
    </row>
    <row r="12" spans="1:9" x14ac:dyDescent="0.25">
      <c r="A12" s="95" t="s">
        <v>125</v>
      </c>
      <c r="B12" s="95" t="s">
        <v>134</v>
      </c>
      <c r="C12" s="96">
        <v>0.01</v>
      </c>
      <c r="D12" s="108">
        <f>D5</f>
        <v>0.02</v>
      </c>
      <c r="F12" s="95" t="s">
        <v>161</v>
      </c>
      <c r="G12" s="95" t="s">
        <v>134</v>
      </c>
      <c r="H12" s="96">
        <v>0.03</v>
      </c>
      <c r="I12" s="108">
        <f>I5</f>
        <v>0.02</v>
      </c>
    </row>
    <row r="13" spans="1:9" x14ac:dyDescent="0.25">
      <c r="A13" s="95" t="s">
        <v>125</v>
      </c>
      <c r="B13" s="95" t="s">
        <v>135</v>
      </c>
      <c r="C13" s="96">
        <v>0.04</v>
      </c>
      <c r="D13" s="108">
        <f>D6</f>
        <v>7.0000000000000007E-2</v>
      </c>
      <c r="F13" s="95" t="s">
        <v>161</v>
      </c>
      <c r="G13" s="95" t="s">
        <v>135</v>
      </c>
      <c r="H13" s="96">
        <v>0.11</v>
      </c>
      <c r="I13" s="108">
        <f>I6</f>
        <v>7.0000000000000007E-2</v>
      </c>
    </row>
    <row r="14" spans="1:9" x14ac:dyDescent="0.25">
      <c r="A14" s="95" t="s">
        <v>125</v>
      </c>
      <c r="B14" s="95" t="s">
        <v>136</v>
      </c>
      <c r="C14" s="96">
        <v>0.12</v>
      </c>
      <c r="D14" s="108">
        <f>D7</f>
        <v>0.11</v>
      </c>
      <c r="F14" s="95" t="s">
        <v>161</v>
      </c>
      <c r="G14" s="95" t="s">
        <v>136</v>
      </c>
      <c r="H14" s="96">
        <v>0.26</v>
      </c>
      <c r="I14" s="108">
        <f>I7</f>
        <v>0.11</v>
      </c>
    </row>
    <row r="15" spans="1:9" x14ac:dyDescent="0.25">
      <c r="A15" s="95" t="s">
        <v>125</v>
      </c>
      <c r="B15" s="95" t="s">
        <v>137</v>
      </c>
      <c r="C15" s="96">
        <v>-0.02</v>
      </c>
      <c r="D15" s="108">
        <f>D8</f>
        <v>-0.02</v>
      </c>
      <c r="F15" s="95" t="s">
        <v>161</v>
      </c>
      <c r="G15" s="95" t="s">
        <v>137</v>
      </c>
      <c r="H15" s="96">
        <v>-0.01</v>
      </c>
      <c r="I15" s="108">
        <f>I8</f>
        <v>0</v>
      </c>
    </row>
    <row r="16" spans="1:9" x14ac:dyDescent="0.25">
      <c r="A16" s="95" t="s">
        <v>125</v>
      </c>
      <c r="B16" s="95" t="s">
        <v>138</v>
      </c>
      <c r="C16" s="96">
        <v>2.84</v>
      </c>
      <c r="D16" s="97">
        <v>1</v>
      </c>
      <c r="F16" s="95" t="s">
        <v>161</v>
      </c>
      <c r="G16" s="95" t="s">
        <v>138</v>
      </c>
      <c r="H16" s="96">
        <v>2.86</v>
      </c>
      <c r="I16" s="97">
        <v>1</v>
      </c>
    </row>
    <row r="17" spans="1:9" x14ac:dyDescent="0.25">
      <c r="A17" s="95" t="s">
        <v>125</v>
      </c>
      <c r="B17" s="95" t="s">
        <v>139</v>
      </c>
      <c r="C17" s="96">
        <v>2.4300000000000002</v>
      </c>
      <c r="D17" s="108">
        <f>ROUND(D16-SUM(D11:D15),2)</f>
        <v>0.42</v>
      </c>
      <c r="F17" s="95" t="s">
        <v>161</v>
      </c>
      <c r="G17" s="95" t="s">
        <v>139</v>
      </c>
      <c r="H17" s="96">
        <v>2.4500000000000002</v>
      </c>
      <c r="I17" s="108">
        <f>ROUND(I16-SUM(I11:I15),2)</f>
        <v>0.41</v>
      </c>
    </row>
    <row r="19" spans="1:9" x14ac:dyDescent="0.25">
      <c r="A19" s="105" t="s">
        <v>140</v>
      </c>
      <c r="F19" s="106" t="s">
        <v>174</v>
      </c>
    </row>
    <row r="20" spans="1:9" x14ac:dyDescent="0.25">
      <c r="A20" s="98" t="s">
        <v>121</v>
      </c>
      <c r="B20" s="94" t="s">
        <v>122</v>
      </c>
      <c r="C20" s="99" t="s">
        <v>123</v>
      </c>
      <c r="D20" s="100" t="s">
        <v>124</v>
      </c>
      <c r="F20" s="98" t="s">
        <v>121</v>
      </c>
      <c r="G20" s="94" t="s">
        <v>122</v>
      </c>
      <c r="H20" s="99" t="s">
        <v>123</v>
      </c>
      <c r="I20" s="100" t="s">
        <v>124</v>
      </c>
    </row>
    <row r="21" spans="1:9" x14ac:dyDescent="0.25">
      <c r="A21" s="101" t="s">
        <v>141</v>
      </c>
      <c r="B21" s="95" t="s">
        <v>142</v>
      </c>
      <c r="C21" s="96">
        <v>9.98</v>
      </c>
      <c r="D21" s="102">
        <f>ROUND(D22*2,2)</f>
        <v>11.74</v>
      </c>
      <c r="F21" s="101" t="s">
        <v>163</v>
      </c>
      <c r="G21" s="95" t="s">
        <v>142</v>
      </c>
      <c r="H21" s="96">
        <v>8.48</v>
      </c>
      <c r="I21" s="102">
        <f>ROUND(I22*2,2)</f>
        <v>12.74</v>
      </c>
    </row>
    <row r="22" spans="1:9" x14ac:dyDescent="0.25">
      <c r="A22" s="101" t="s">
        <v>143</v>
      </c>
      <c r="B22" s="95" t="s">
        <v>144</v>
      </c>
      <c r="C22" s="96">
        <v>4.99</v>
      </c>
      <c r="D22" s="102">
        <f>ROUND(('2019 EV Usage Data'!$C$38*'ECR FAC TCJA'!$B$19)/12,2)</f>
        <v>5.87</v>
      </c>
      <c r="F22" s="101" t="s">
        <v>168</v>
      </c>
      <c r="G22" s="95" t="s">
        <v>144</v>
      </c>
      <c r="H22" s="96">
        <v>4.24</v>
      </c>
      <c r="I22" s="102">
        <f>ROUND(('2019 EV Usage Data'!$C$38*'ECR FAC TCJA'!$G$19)/12,2)</f>
        <v>6.37</v>
      </c>
    </row>
    <row r="23" spans="1:9" x14ac:dyDescent="0.25">
      <c r="A23" s="101" t="s">
        <v>145</v>
      </c>
      <c r="B23" s="95" t="s">
        <v>146</v>
      </c>
      <c r="C23" s="96">
        <v>28.21</v>
      </c>
      <c r="D23" s="102">
        <f>ROUND(D24*2,2)</f>
        <v>20.46</v>
      </c>
      <c r="F23" s="101" t="s">
        <v>164</v>
      </c>
      <c r="G23" s="95" t="s">
        <v>146</v>
      </c>
      <c r="H23" s="96">
        <v>26.58</v>
      </c>
      <c r="I23" s="102">
        <f>ROUND(I24*2,2)</f>
        <v>20.260000000000002</v>
      </c>
    </row>
    <row r="24" spans="1:9" x14ac:dyDescent="0.25">
      <c r="A24" s="101" t="s">
        <v>147</v>
      </c>
      <c r="B24" s="95" t="s">
        <v>148</v>
      </c>
      <c r="C24" s="96">
        <v>14.1</v>
      </c>
      <c r="D24" s="102">
        <f>ROUND(('2019 EV Usage Data'!$C$38*'ECR FAC TCJA'!$B$17)/12,2)</f>
        <v>10.23</v>
      </c>
      <c r="F24" s="101" t="s">
        <v>169</v>
      </c>
      <c r="G24" s="95" t="s">
        <v>170</v>
      </c>
      <c r="H24" s="96">
        <v>13.29</v>
      </c>
      <c r="I24" s="102">
        <f>ROUND(('2019 EV Usage Data'!$C$38*'ECR FAC TCJA'!$G$17)/12,2)</f>
        <v>10.130000000000001</v>
      </c>
    </row>
    <row r="25" spans="1:9" x14ac:dyDescent="0.25">
      <c r="A25" s="101" t="s">
        <v>149</v>
      </c>
      <c r="B25" s="95" t="s">
        <v>150</v>
      </c>
      <c r="C25" s="96">
        <v>63.6</v>
      </c>
      <c r="D25" s="102">
        <f>ROUND(D29-SUM(D27,D23,D21),2)</f>
        <v>71.8</v>
      </c>
      <c r="F25" s="101" t="s">
        <v>165</v>
      </c>
      <c r="G25" s="95" t="s">
        <v>150</v>
      </c>
      <c r="H25" s="96">
        <v>61.92</v>
      </c>
      <c r="I25" s="102">
        <f>ROUND(I29-SUM(I27,I23,I21),2)</f>
        <v>70.05</v>
      </c>
    </row>
    <row r="26" spans="1:9" x14ac:dyDescent="0.25">
      <c r="A26" s="101" t="s">
        <v>151</v>
      </c>
      <c r="B26" s="95" t="s">
        <v>152</v>
      </c>
      <c r="C26" s="96">
        <v>31.81</v>
      </c>
      <c r="D26" s="102">
        <f>ROUND(D30-SUM(D28,D24,D22),2)</f>
        <v>35.9</v>
      </c>
      <c r="F26" s="101" t="s">
        <v>171</v>
      </c>
      <c r="G26" s="95" t="s">
        <v>152</v>
      </c>
      <c r="H26" s="96">
        <v>30.97</v>
      </c>
      <c r="I26" s="102">
        <f>ROUND(I30-SUM(I28,I24,I22),2)</f>
        <v>35.03</v>
      </c>
    </row>
    <row r="27" spans="1:9" x14ac:dyDescent="0.25">
      <c r="A27" s="101" t="s">
        <v>153</v>
      </c>
      <c r="B27" s="95" t="s">
        <v>154</v>
      </c>
      <c r="C27" s="96">
        <v>204.31</v>
      </c>
      <c r="D27" s="102">
        <f>ROUND('KU Rate Summary'!E15,2)</f>
        <v>172.79</v>
      </c>
      <c r="F27" s="101" t="s">
        <v>166</v>
      </c>
      <c r="G27" s="95" t="s">
        <v>154</v>
      </c>
      <c r="H27" s="96">
        <v>205.15</v>
      </c>
      <c r="I27" s="102">
        <f>ROUND('LGE Rate Summary'!E15,2)</f>
        <v>173.95</v>
      </c>
    </row>
    <row r="28" spans="1:9" x14ac:dyDescent="0.25">
      <c r="A28" s="101" t="s">
        <v>155</v>
      </c>
      <c r="B28" s="95" t="s">
        <v>156</v>
      </c>
      <c r="C28" s="96">
        <v>131.41</v>
      </c>
      <c r="D28" s="102">
        <f>ROUND('KU Rate Summary'!D15,2)</f>
        <v>122.35</v>
      </c>
      <c r="F28" s="101" t="s">
        <v>172</v>
      </c>
      <c r="G28" s="95" t="s">
        <v>156</v>
      </c>
      <c r="H28" s="96">
        <v>132</v>
      </c>
      <c r="I28" s="103">
        <f>ROUND('LGE Rate Summary'!D15,2)</f>
        <v>123.22</v>
      </c>
    </row>
    <row r="29" spans="1:9" x14ac:dyDescent="0.25">
      <c r="A29" s="101" t="s">
        <v>157</v>
      </c>
      <c r="B29" s="95" t="s">
        <v>158</v>
      </c>
      <c r="C29" s="96">
        <v>306.10000000000002</v>
      </c>
      <c r="D29" s="96">
        <f>ROUND('KU Rate Summary'!E28,2)</f>
        <v>276.79000000000002</v>
      </c>
      <c r="F29" s="101" t="s">
        <v>167</v>
      </c>
      <c r="G29" s="95" t="s">
        <v>158</v>
      </c>
      <c r="H29" s="104">
        <v>302.13</v>
      </c>
      <c r="I29" s="104">
        <f>ROUND('LGE Rate Summary'!E28,2)</f>
        <v>277</v>
      </c>
    </row>
    <row r="30" spans="1:9" x14ac:dyDescent="0.25">
      <c r="A30" s="101" t="s">
        <v>159</v>
      </c>
      <c r="B30" s="95" t="s">
        <v>160</v>
      </c>
      <c r="C30" s="96">
        <v>182.31</v>
      </c>
      <c r="D30" s="96">
        <f>ROUND('KU Rate Summary'!D28,2)</f>
        <v>174.35</v>
      </c>
      <c r="F30" s="101" t="s">
        <v>173</v>
      </c>
      <c r="G30" s="95" t="s">
        <v>160</v>
      </c>
      <c r="H30" s="96">
        <v>180.5</v>
      </c>
      <c r="I30" s="96">
        <f>ROUND('LGE Rate Summary'!D28,2)</f>
        <v>174.75</v>
      </c>
    </row>
    <row r="32" spans="1:9" x14ac:dyDescent="0.25">
      <c r="C32" s="17" t="s">
        <v>175</v>
      </c>
      <c r="D32" s="107">
        <f>D29-SUM(D27,D25,D23,D21)</f>
        <v>0</v>
      </c>
      <c r="H32" s="17" t="s">
        <v>175</v>
      </c>
      <c r="I32" s="107">
        <f>I29-SUM(I27,I25,I23,I21)</f>
        <v>0</v>
      </c>
    </row>
    <row r="33" spans="3:9" x14ac:dyDescent="0.25">
      <c r="C33" s="17" t="s">
        <v>175</v>
      </c>
      <c r="D33" s="107">
        <f>D30-SUM(D28,D26,D24,D22)</f>
        <v>0</v>
      </c>
      <c r="H33" s="17" t="s">
        <v>175</v>
      </c>
      <c r="I33" s="107">
        <f>I30-SUM(I28,I26,I24,I22)</f>
        <v>0</v>
      </c>
    </row>
  </sheetData>
  <sortState xmlns:xlrd2="http://schemas.microsoft.com/office/spreadsheetml/2017/richdata2" ref="F21:I30">
    <sortCondition ref="G21:G3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42"/>
  <sheetViews>
    <sheetView zoomScale="80" zoomScaleNormal="80" workbookViewId="0"/>
  </sheetViews>
  <sheetFormatPr defaultColWidth="8.88671875" defaultRowHeight="15.75" x14ac:dyDescent="0.25"/>
  <cols>
    <col min="1" max="1" width="8.88671875" style="1"/>
    <col min="2" max="2" width="9.33203125" style="1" bestFit="1" customWidth="1"/>
    <col min="3" max="4" width="8.88671875" style="1"/>
    <col min="5" max="5" width="13.88671875" style="1" bestFit="1" customWidth="1"/>
    <col min="6" max="6" width="8.88671875" style="1"/>
    <col min="7" max="7" width="9.33203125" style="1" bestFit="1" customWidth="1"/>
    <col min="8" max="9" width="8.88671875" style="1"/>
    <col min="10" max="10" width="13.88671875" style="1" bestFit="1" customWidth="1"/>
    <col min="11" max="16384" width="8.88671875" style="1"/>
  </cols>
  <sheetData>
    <row r="1" spans="1:9" ht="21" x14ac:dyDescent="0.35">
      <c r="A1" s="51" t="s">
        <v>22</v>
      </c>
      <c r="F1" s="58" t="s">
        <v>75</v>
      </c>
    </row>
    <row r="2" spans="1:9" x14ac:dyDescent="0.25">
      <c r="B2" s="11" t="s">
        <v>84</v>
      </c>
      <c r="C2" s="11" t="s">
        <v>87</v>
      </c>
      <c r="D2" s="11" t="s">
        <v>88</v>
      </c>
      <c r="G2" s="11" t="s">
        <v>84</v>
      </c>
      <c r="H2" s="11" t="s">
        <v>87</v>
      </c>
      <c r="I2" s="11" t="s">
        <v>88</v>
      </c>
    </row>
    <row r="3" spans="1:9" x14ac:dyDescent="0.25">
      <c r="A3" s="163">
        <v>44136</v>
      </c>
      <c r="B3" s="164">
        <v>-2.82E-3</v>
      </c>
      <c r="C3" s="165">
        <v>4.2099999999999999E-2</v>
      </c>
      <c r="D3" s="65"/>
      <c r="F3" s="163">
        <v>44136</v>
      </c>
      <c r="G3" s="164">
        <v>-2.1900000000000001E-3</v>
      </c>
      <c r="H3" s="165">
        <v>3.5400000000000001E-2</v>
      </c>
      <c r="I3" s="65"/>
    </row>
    <row r="4" spans="1:9" x14ac:dyDescent="0.25">
      <c r="A4" s="166">
        <f>IF(MONTH(A3)=1,DATE(YEAR(A3)-1,12,1),DATE(YEAR(A3),MONTH(A3)-1,1))</f>
        <v>44105</v>
      </c>
      <c r="B4" s="164">
        <v>-2.1700000000000001E-3</v>
      </c>
      <c r="C4" s="165">
        <v>3.3700000000000001E-2</v>
      </c>
      <c r="D4" s="65"/>
      <c r="F4" s="166">
        <f>IF(MONTH(F3)=1,DATE(YEAR(F3)-1,12,1),DATE(YEAR(F3),MONTH(F3)-1,1))</f>
        <v>44105</v>
      </c>
      <c r="G4" s="164">
        <v>-1.1199999999999999E-3</v>
      </c>
      <c r="H4" s="165">
        <v>2.0299999999999999E-2</v>
      </c>
      <c r="I4" s="65"/>
    </row>
    <row r="5" spans="1:9" x14ac:dyDescent="0.25">
      <c r="A5" s="166">
        <f t="shared" ref="A5:A14" si="0">IF(MONTH(A4)=1,DATE(YEAR(A4)-1,12,1),DATE(YEAR(A4),MONTH(A4)-1,1))</f>
        <v>44075</v>
      </c>
      <c r="B5" s="164">
        <v>-2.0300000000000001E-3</v>
      </c>
      <c r="C5" s="165">
        <v>2.7900000000000001E-2</v>
      </c>
      <c r="D5" s="65"/>
      <c r="F5" s="166">
        <f t="shared" ref="F5:F12" si="1">IF(MONTH(F4)=1,DATE(YEAR(F4)-1,12,1),DATE(YEAR(F4),MONTH(F4)-1,1))</f>
        <v>44075</v>
      </c>
      <c r="G5" s="164">
        <v>-1.5499999999999999E-3</v>
      </c>
      <c r="H5" s="165">
        <v>1.32E-2</v>
      </c>
      <c r="I5" s="65"/>
    </row>
    <row r="6" spans="1:9" x14ac:dyDescent="0.25">
      <c r="A6" s="166">
        <f t="shared" si="0"/>
        <v>44044</v>
      </c>
      <c r="B6" s="164">
        <v>-2.8400000000000001E-3</v>
      </c>
      <c r="C6" s="165">
        <v>5.2299999999999999E-2</v>
      </c>
      <c r="D6" s="65"/>
      <c r="F6" s="166">
        <f t="shared" si="1"/>
        <v>44044</v>
      </c>
      <c r="G6" s="164">
        <v>-2.31E-3</v>
      </c>
      <c r="H6" s="165">
        <v>5.5500000000000001E-2</v>
      </c>
      <c r="I6" s="65"/>
    </row>
    <row r="7" spans="1:9" x14ac:dyDescent="0.25">
      <c r="A7" s="166">
        <f t="shared" si="0"/>
        <v>44013</v>
      </c>
      <c r="B7" s="164">
        <v>-3.5100000000000001E-3</v>
      </c>
      <c r="C7" s="165">
        <v>6.6400000000000001E-2</v>
      </c>
      <c r="D7" s="65"/>
      <c r="F7" s="166">
        <f t="shared" si="1"/>
        <v>44013</v>
      </c>
      <c r="G7" s="164">
        <v>-1.15E-3</v>
      </c>
      <c r="H7" s="165">
        <v>9.1899999999999996E-2</v>
      </c>
      <c r="I7" s="65"/>
    </row>
    <row r="8" spans="1:9" x14ac:dyDescent="0.25">
      <c r="A8" s="166">
        <f t="shared" si="0"/>
        <v>43983</v>
      </c>
      <c r="B8" s="164">
        <v>-3.3700000000000002E-3</v>
      </c>
      <c r="C8" s="165">
        <v>6.2100000000000002E-2</v>
      </c>
      <c r="D8" s="65"/>
      <c r="F8" s="166">
        <f t="shared" si="1"/>
        <v>43983</v>
      </c>
      <c r="G8" s="164">
        <v>-9.0000000000000006E-5</v>
      </c>
      <c r="H8" s="165">
        <v>7.1599999999999997E-2</v>
      </c>
      <c r="I8" s="65"/>
    </row>
    <row r="9" spans="1:9" x14ac:dyDescent="0.25">
      <c r="A9" s="166">
        <f t="shared" si="0"/>
        <v>43952</v>
      </c>
      <c r="B9" s="164">
        <v>-3.2799999999999999E-3</v>
      </c>
      <c r="C9" s="165">
        <v>3.5099999999999999E-2</v>
      </c>
      <c r="F9" s="166">
        <f t="shared" si="1"/>
        <v>43952</v>
      </c>
      <c r="G9" s="164">
        <v>-3.0000000000000001E-5</v>
      </c>
      <c r="H9" s="165">
        <v>5.8700000000000002E-2</v>
      </c>
    </row>
    <row r="10" spans="1:9" x14ac:dyDescent="0.25">
      <c r="A10" s="166">
        <f t="shared" si="0"/>
        <v>43922</v>
      </c>
      <c r="B10" s="164">
        <v>-1.89E-3</v>
      </c>
      <c r="C10" s="165">
        <v>3.3300000000000003E-2</v>
      </c>
      <c r="F10" s="166">
        <f t="shared" si="1"/>
        <v>43922</v>
      </c>
      <c r="G10" s="164">
        <v>4.6000000000000001E-4</v>
      </c>
      <c r="H10" s="165">
        <v>6.0199999999999997E-2</v>
      </c>
    </row>
    <row r="11" spans="1:9" x14ac:dyDescent="0.25">
      <c r="A11" s="166">
        <f t="shared" si="0"/>
        <v>43891</v>
      </c>
      <c r="B11" s="164">
        <v>-3.13E-3</v>
      </c>
      <c r="C11" s="165">
        <v>2.4400000000000002E-2</v>
      </c>
      <c r="F11" s="166">
        <f t="shared" si="1"/>
        <v>43891</v>
      </c>
      <c r="G11" s="164">
        <v>6.3000000000000003E-4</v>
      </c>
      <c r="H11" s="165">
        <v>5.5899999999999998E-2</v>
      </c>
    </row>
    <row r="12" spans="1:9" x14ac:dyDescent="0.25">
      <c r="A12" s="166">
        <f t="shared" si="0"/>
        <v>43862</v>
      </c>
      <c r="B12" s="164">
        <v>-2.6700000000000001E-3</v>
      </c>
      <c r="C12" s="165">
        <v>3.7699999999999997E-2</v>
      </c>
      <c r="F12" s="166">
        <f t="shared" si="1"/>
        <v>43862</v>
      </c>
      <c r="G12" s="164">
        <v>1.0300000000000001E-3</v>
      </c>
      <c r="H12" s="165">
        <v>5.8200000000000002E-2</v>
      </c>
    </row>
    <row r="13" spans="1:9" x14ac:dyDescent="0.25">
      <c r="A13" s="166">
        <f>IF(MONTH(A12)=1,DATE(YEAR(A12)-1,12,1),DATE(YEAR(A12),MONTH(A12)-1,1))</f>
        <v>43831</v>
      </c>
      <c r="B13" s="164">
        <v>-5.45E-3</v>
      </c>
      <c r="C13" s="165">
        <v>6.1800000000000001E-2</v>
      </c>
      <c r="F13" s="166">
        <f>IF(MONTH(F12)=1,DATE(YEAR(F12)-1,12,1),DATE(YEAR(F12),MONTH(F12)-1,1))</f>
        <v>43831</v>
      </c>
      <c r="G13" s="164">
        <v>-1.7099999999999999E-3</v>
      </c>
      <c r="H13" s="165">
        <v>7.46E-2</v>
      </c>
    </row>
    <row r="14" spans="1:9" x14ac:dyDescent="0.25">
      <c r="A14" s="166">
        <f t="shared" si="0"/>
        <v>43800</v>
      </c>
      <c r="B14" s="167">
        <v>-6.7999999999999996E-3</v>
      </c>
      <c r="C14" s="168">
        <v>3.3300000000000003E-2</v>
      </c>
      <c r="D14" s="45"/>
      <c r="F14" s="166">
        <f t="shared" ref="F14" si="2">IF(MONTH(F13)=1,DATE(YEAR(F13)-1,12,1),DATE(YEAR(F13),MONTH(F13)-1,1))</f>
        <v>43800</v>
      </c>
      <c r="G14" s="167">
        <v>-1.3799999999999999E-3</v>
      </c>
      <c r="H14" s="168">
        <v>2.92E-2</v>
      </c>
      <c r="I14" s="45"/>
    </row>
    <row r="15" spans="1:9" x14ac:dyDescent="0.25">
      <c r="A15" s="68" t="s">
        <v>27</v>
      </c>
      <c r="B15" s="67">
        <f>AVERAGE(B3:B14)</f>
        <v>-3.3300000000000001E-3</v>
      </c>
      <c r="C15" s="60">
        <f>AVERAGE(C3:C14)</f>
        <v>4.2508333333333342E-2</v>
      </c>
      <c r="D15" s="67" t="e">
        <f>AVERAGE(D3:D14)</f>
        <v>#DIV/0!</v>
      </c>
      <c r="F15" s="68" t="s">
        <v>27</v>
      </c>
      <c r="G15" s="67">
        <f>AVERAGE(G3:G14)</f>
        <v>-7.8416666666666652E-4</v>
      </c>
      <c r="H15" s="60">
        <f>AVERAGE(H3:H14)</f>
        <v>5.2058333333333338E-2</v>
      </c>
      <c r="I15" s="67" t="e">
        <f>AVERAGE(I3:I14)</f>
        <v>#DIV/0!</v>
      </c>
    </row>
    <row r="16" spans="1:9" x14ac:dyDescent="0.25">
      <c r="A16" s="64"/>
      <c r="F16" s="64"/>
    </row>
    <row r="17" spans="1:10" x14ac:dyDescent="0.25">
      <c r="B17" s="66">
        <v>2.452E-2</v>
      </c>
      <c r="C17" s="1" t="s">
        <v>85</v>
      </c>
      <c r="G17" s="66">
        <v>2.4279999999999999E-2</v>
      </c>
      <c r="H17" s="1" t="s">
        <v>85</v>
      </c>
    </row>
    <row r="19" spans="1:10" x14ac:dyDescent="0.25">
      <c r="B19" s="142">
        <v>1.4069999999999999E-2</v>
      </c>
      <c r="C19" s="1" t="s">
        <v>206</v>
      </c>
      <c r="G19" s="142">
        <v>1.528E-2</v>
      </c>
      <c r="H19" s="1" t="s">
        <v>206</v>
      </c>
    </row>
    <row r="21" spans="1:10" x14ac:dyDescent="0.25">
      <c r="B21" s="83">
        <f>'2019 EV Usage Data'!$B$30</f>
        <v>4.6100000000000003</v>
      </c>
      <c r="C21" s="1" t="s">
        <v>86</v>
      </c>
      <c r="G21" s="83">
        <f>'2019 EV Usage Data'!$B$30</f>
        <v>4.6100000000000003</v>
      </c>
      <c r="H21" s="1" t="s">
        <v>86</v>
      </c>
    </row>
    <row r="23" spans="1:10" x14ac:dyDescent="0.25">
      <c r="B23" s="181">
        <v>0.12469</v>
      </c>
      <c r="C23" s="93" t="s">
        <v>90</v>
      </c>
      <c r="D23" s="93"/>
      <c r="E23" s="93"/>
      <c r="F23" s="93"/>
      <c r="G23" s="181">
        <v>0.12354999999999999</v>
      </c>
      <c r="H23" s="1" t="s">
        <v>90</v>
      </c>
    </row>
    <row r="25" spans="1:10" x14ac:dyDescent="0.25">
      <c r="B25" s="11" t="s">
        <v>84</v>
      </c>
      <c r="C25" s="11" t="s">
        <v>87</v>
      </c>
      <c r="D25" s="11" t="s">
        <v>88</v>
      </c>
      <c r="G25" s="11" t="s">
        <v>84</v>
      </c>
      <c r="H25" s="11" t="s">
        <v>87</v>
      </c>
      <c r="I25" s="11" t="s">
        <v>88</v>
      </c>
    </row>
    <row r="26" spans="1:10" x14ac:dyDescent="0.25">
      <c r="A26" s="70" t="s">
        <v>22</v>
      </c>
      <c r="B26" s="67">
        <f>B15*B21</f>
        <v>-1.5351300000000002E-2</v>
      </c>
      <c r="C26" s="67">
        <f>(B21*(B23-B17))*C15</f>
        <v>1.9629655447500005E-2</v>
      </c>
      <c r="D26" s="91">
        <v>0</v>
      </c>
      <c r="E26" s="1" t="s">
        <v>89</v>
      </c>
      <c r="F26" s="69" t="s">
        <v>75</v>
      </c>
      <c r="G26" s="67">
        <f>G15*G21</f>
        <v>-3.615008333333333E-3</v>
      </c>
      <c r="H26" s="67">
        <f>(G21*(G23-G17))*H15</f>
        <v>2.3823699757500004E-2</v>
      </c>
      <c r="I26" s="91">
        <v>0</v>
      </c>
      <c r="J26" s="1" t="s">
        <v>89</v>
      </c>
    </row>
    <row r="28" spans="1:10" ht="18" x14ac:dyDescent="0.4">
      <c r="B28" s="161" t="s">
        <v>204</v>
      </c>
      <c r="C28" s="161" t="s">
        <v>205</v>
      </c>
      <c r="D28" s="12"/>
      <c r="G28" s="161" t="s">
        <v>204</v>
      </c>
      <c r="H28" s="161" t="s">
        <v>205</v>
      </c>
      <c r="I28" s="12"/>
    </row>
    <row r="29" spans="1:10" x14ac:dyDescent="0.25">
      <c r="B29" s="162">
        <v>0</v>
      </c>
      <c r="C29" s="162">
        <v>0</v>
      </c>
      <c r="G29" s="162">
        <v>0</v>
      </c>
      <c r="H29" s="162">
        <v>0</v>
      </c>
    </row>
    <row r="31" spans="1:10" x14ac:dyDescent="0.25">
      <c r="A31" s="92"/>
      <c r="F31" s="92"/>
    </row>
    <row r="32" spans="1:10" x14ac:dyDescent="0.25">
      <c r="A32" s="92"/>
      <c r="F32" s="92"/>
    </row>
    <row r="33" spans="1:6" x14ac:dyDescent="0.25">
      <c r="A33" s="92"/>
      <c r="F33" s="92"/>
    </row>
    <row r="34" spans="1:6" x14ac:dyDescent="0.25">
      <c r="A34" s="92"/>
      <c r="F34" s="92"/>
    </row>
    <row r="35" spans="1:6" x14ac:dyDescent="0.25">
      <c r="A35" s="92"/>
      <c r="F35" s="92"/>
    </row>
    <row r="36" spans="1:6" x14ac:dyDescent="0.25">
      <c r="A36" s="92"/>
      <c r="F36" s="92"/>
    </row>
    <row r="37" spans="1:6" x14ac:dyDescent="0.25">
      <c r="A37" s="92"/>
      <c r="F37" s="92"/>
    </row>
    <row r="38" spans="1:6" x14ac:dyDescent="0.25">
      <c r="A38" s="92"/>
      <c r="F38" s="92"/>
    </row>
    <row r="39" spans="1:6" x14ac:dyDescent="0.25">
      <c r="A39" s="92"/>
      <c r="F39" s="92"/>
    </row>
    <row r="40" spans="1:6" x14ac:dyDescent="0.25">
      <c r="A40" s="92"/>
      <c r="F40" s="92"/>
    </row>
    <row r="41" spans="1:6" x14ac:dyDescent="0.25">
      <c r="A41" s="92"/>
      <c r="F41" s="92"/>
    </row>
    <row r="42" spans="1:6" x14ac:dyDescent="0.25">
      <c r="A42" s="92"/>
      <c r="F42" s="9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zoomScale="80" zoomScaleNormal="80" workbookViewId="0"/>
  </sheetViews>
  <sheetFormatPr defaultColWidth="8.88671875" defaultRowHeight="15.75" x14ac:dyDescent="0.25"/>
  <cols>
    <col min="1" max="1" width="12.88671875" style="1" customWidth="1"/>
    <col min="2" max="2" width="11.6640625" style="1" bestFit="1" customWidth="1"/>
    <col min="3" max="8" width="8.88671875" style="1"/>
    <col min="9" max="9" width="13.6640625" style="1" customWidth="1"/>
    <col min="10" max="10" width="11.6640625" style="1" bestFit="1" customWidth="1"/>
    <col min="11" max="16384" width="8.88671875" style="1"/>
  </cols>
  <sheetData>
    <row r="1" spans="1:14" ht="21" x14ac:dyDescent="0.35">
      <c r="A1" s="50" t="s">
        <v>0</v>
      </c>
    </row>
    <row r="2" spans="1:14" x14ac:dyDescent="0.25">
      <c r="A2" s="37"/>
    </row>
    <row r="3" spans="1:14" ht="21" x14ac:dyDescent="0.35">
      <c r="A3" s="51" t="s">
        <v>22</v>
      </c>
      <c r="I3" s="58" t="s">
        <v>75</v>
      </c>
    </row>
    <row r="4" spans="1:14" x14ac:dyDescent="0.25">
      <c r="A4" s="1" t="s">
        <v>208</v>
      </c>
      <c r="I4" s="1" t="s">
        <v>208</v>
      </c>
    </row>
    <row r="5" spans="1:14" x14ac:dyDescent="0.25">
      <c r="A5" s="52"/>
      <c r="B5" s="19" t="s">
        <v>1</v>
      </c>
      <c r="C5" s="20" t="s">
        <v>7</v>
      </c>
      <c r="D5" s="53" t="s">
        <v>7</v>
      </c>
      <c r="E5" s="21" t="s">
        <v>9</v>
      </c>
      <c r="F5" s="17"/>
      <c r="I5" s="52"/>
      <c r="J5" s="19" t="s">
        <v>1</v>
      </c>
      <c r="K5" s="20" t="s">
        <v>7</v>
      </c>
      <c r="L5" s="53" t="s">
        <v>7</v>
      </c>
      <c r="M5" s="21" t="s">
        <v>9</v>
      </c>
      <c r="N5" s="17"/>
    </row>
    <row r="6" spans="1:14" x14ac:dyDescent="0.25">
      <c r="A6" s="54"/>
      <c r="B6" s="23" t="s">
        <v>74</v>
      </c>
      <c r="C6" s="23" t="s">
        <v>6</v>
      </c>
      <c r="D6" s="55" t="s">
        <v>10</v>
      </c>
      <c r="E6" s="56" t="s">
        <v>10</v>
      </c>
      <c r="F6" s="17"/>
      <c r="I6" s="54"/>
      <c r="J6" s="23" t="s">
        <v>74</v>
      </c>
      <c r="K6" s="23" t="s">
        <v>6</v>
      </c>
      <c r="L6" s="55" t="s">
        <v>10</v>
      </c>
      <c r="M6" s="56" t="s">
        <v>10</v>
      </c>
      <c r="N6" s="17"/>
    </row>
    <row r="7" spans="1:14" x14ac:dyDescent="0.25">
      <c r="A7" s="18" t="s">
        <v>73</v>
      </c>
      <c r="B7" s="170">
        <v>0.53231727204541945</v>
      </c>
      <c r="C7" s="171">
        <v>0.1</v>
      </c>
      <c r="D7" s="172"/>
      <c r="E7" s="57">
        <f>B7*C7</f>
        <v>5.3231727204541945E-2</v>
      </c>
      <c r="F7" s="17"/>
      <c r="I7" s="18" t="s">
        <v>73</v>
      </c>
      <c r="J7" s="170">
        <v>0.53186756668048796</v>
      </c>
      <c r="K7" s="171">
        <v>0.1</v>
      </c>
      <c r="L7" s="169"/>
      <c r="M7" s="57">
        <f>J7*K7</f>
        <v>5.3186756668048799E-2</v>
      </c>
      <c r="N7" s="17"/>
    </row>
    <row r="8" spans="1:14" x14ac:dyDescent="0.25">
      <c r="A8" s="18" t="s">
        <v>11</v>
      </c>
      <c r="B8" s="170">
        <v>1.7181755744303865E-2</v>
      </c>
      <c r="C8" s="173"/>
      <c r="D8" s="169">
        <v>4.5912749740748019E-3</v>
      </c>
      <c r="E8" s="25">
        <f>B8*D8</f>
        <v>7.8886165159488303E-5</v>
      </c>
      <c r="F8" s="17"/>
      <c r="I8" s="18" t="s">
        <v>11</v>
      </c>
      <c r="J8" s="170">
        <v>1.2724441454179317E-2</v>
      </c>
      <c r="K8" s="173"/>
      <c r="L8" s="169">
        <v>4.6014989982342287E-3</v>
      </c>
      <c r="M8" s="25">
        <f>J8*L8</f>
        <v>5.8551504604496218E-5</v>
      </c>
      <c r="N8" s="17"/>
    </row>
    <row r="9" spans="1:14" x14ac:dyDescent="0.25">
      <c r="A9" s="22" t="s">
        <v>12</v>
      </c>
      <c r="B9" s="174">
        <v>0.45050097221027657</v>
      </c>
      <c r="C9" s="175"/>
      <c r="D9" s="176">
        <v>4.1618462004870925E-2</v>
      </c>
      <c r="E9" s="27">
        <f>B9*D9</f>
        <v>1.8749157595090809E-2</v>
      </c>
      <c r="F9" s="17"/>
      <c r="I9" s="22" t="s">
        <v>12</v>
      </c>
      <c r="J9" s="174">
        <v>0.45540799186533276</v>
      </c>
      <c r="K9" s="175"/>
      <c r="L9" s="176">
        <v>4.0417299088459008E-2</v>
      </c>
      <c r="M9" s="27">
        <f>J9*L9</f>
        <v>1.8406361014495661E-2</v>
      </c>
      <c r="N9" s="17"/>
    </row>
    <row r="10" spans="1:14" x14ac:dyDescent="0.25">
      <c r="A10" s="18" t="s">
        <v>13</v>
      </c>
      <c r="B10" s="24">
        <f>SUM(B8:B9)</f>
        <v>0.46768272795458044</v>
      </c>
      <c r="C10" s="28"/>
      <c r="D10" s="29"/>
      <c r="E10" s="30"/>
      <c r="F10" s="17"/>
      <c r="I10" s="18" t="s">
        <v>13</v>
      </c>
      <c r="J10" s="24">
        <f>SUM(J8:J9)</f>
        <v>0.4681324333195121</v>
      </c>
      <c r="K10" s="28"/>
      <c r="L10" s="29"/>
      <c r="M10" s="30"/>
      <c r="N10" s="17"/>
    </row>
    <row r="11" spans="1:14" ht="16.5" thickBot="1" x14ac:dyDescent="0.3">
      <c r="A11" s="31" t="s">
        <v>2</v>
      </c>
      <c r="B11" s="32">
        <f>ROUNDUP(B7+B10,1)</f>
        <v>1</v>
      </c>
      <c r="C11" s="33"/>
      <c r="D11" s="33"/>
      <c r="E11" s="34">
        <f>SUM(E7:E9)</f>
        <v>7.2059770964792241E-2</v>
      </c>
      <c r="F11" s="35" t="s">
        <v>8</v>
      </c>
      <c r="I11" s="31" t="s">
        <v>2</v>
      </c>
      <c r="J11" s="32">
        <f>ROUNDUP(J7+J10,1)</f>
        <v>1</v>
      </c>
      <c r="K11" s="33"/>
      <c r="L11" s="33"/>
      <c r="M11" s="34">
        <f>SUM(M7:M9)</f>
        <v>7.165166918714895E-2</v>
      </c>
      <c r="N11" s="35" t="s">
        <v>8</v>
      </c>
    </row>
    <row r="12" spans="1:14" ht="16.5" thickTop="1" x14ac:dyDescent="0.25"/>
    <row r="14" spans="1:14" ht="21" x14ac:dyDescent="0.35">
      <c r="A14" s="50" t="s">
        <v>76</v>
      </c>
    </row>
    <row r="15" spans="1:14" x14ac:dyDescent="0.25">
      <c r="A15" s="179" t="s">
        <v>22</v>
      </c>
      <c r="B15" s="16" t="s">
        <v>210</v>
      </c>
      <c r="G15" s="180" t="s">
        <v>75</v>
      </c>
      <c r="H15" s="16" t="s">
        <v>210</v>
      </c>
    </row>
    <row r="16" spans="1:14" x14ac:dyDescent="0.25">
      <c r="A16" s="178">
        <v>0.19950000000000001</v>
      </c>
      <c r="B16" s="1" t="s">
        <v>209</v>
      </c>
      <c r="G16" s="178">
        <v>0.19950000000000001</v>
      </c>
      <c r="H16" s="1" t="s">
        <v>209</v>
      </c>
    </row>
    <row r="17" spans="1:14" x14ac:dyDescent="0.25">
      <c r="A17" s="177">
        <v>0.05</v>
      </c>
      <c r="B17" s="1" t="s">
        <v>207</v>
      </c>
      <c r="G17" s="177">
        <v>0.05</v>
      </c>
      <c r="H17" s="1" t="s">
        <v>207</v>
      </c>
    </row>
    <row r="18" spans="1:14" x14ac:dyDescent="0.25">
      <c r="A18" s="60">
        <f>SUM(A16:A17)</f>
        <v>0.2495</v>
      </c>
      <c r="B18" s="1" t="s">
        <v>77</v>
      </c>
      <c r="G18" s="60">
        <f>SUM(G16:G17)</f>
        <v>0.2495</v>
      </c>
      <c r="H18" s="1" t="s">
        <v>77</v>
      </c>
    </row>
    <row r="20" spans="1:14" x14ac:dyDescent="0.25">
      <c r="A20" s="61">
        <f>(E7/(1-A18))*A18</f>
        <v>1.769662350104359E-2</v>
      </c>
      <c r="B20" s="1" t="s">
        <v>80</v>
      </c>
    </row>
    <row r="21" spans="1:14" x14ac:dyDescent="0.25">
      <c r="A21" s="61">
        <f>(M7/(1-G18))*G18</f>
        <v>1.7681673269391306E-2</v>
      </c>
      <c r="B21" s="1" t="s">
        <v>81</v>
      </c>
    </row>
    <row r="23" spans="1:14" ht="21" x14ac:dyDescent="0.35">
      <c r="A23" s="51" t="s">
        <v>22</v>
      </c>
      <c r="I23" s="58" t="s">
        <v>75</v>
      </c>
    </row>
    <row r="24" spans="1:14" x14ac:dyDescent="0.25">
      <c r="A24" s="61">
        <f>E11</f>
        <v>7.2059770964792241E-2</v>
      </c>
      <c r="B24" s="1" t="s">
        <v>3</v>
      </c>
      <c r="I24" s="61">
        <f>M11</f>
        <v>7.165166918714895E-2</v>
      </c>
      <c r="J24" s="1" t="s">
        <v>3</v>
      </c>
    </row>
    <row r="25" spans="1:14" x14ac:dyDescent="0.25">
      <c r="A25" s="62">
        <f>1/D25</f>
        <v>0.1</v>
      </c>
      <c r="B25" s="1" t="s">
        <v>78</v>
      </c>
      <c r="D25" s="140">
        <v>10</v>
      </c>
      <c r="E25" s="1" t="s">
        <v>4</v>
      </c>
      <c r="I25" s="62">
        <f>1/L25</f>
        <v>0.1</v>
      </c>
      <c r="J25" s="1" t="s">
        <v>78</v>
      </c>
      <c r="L25" s="140">
        <v>10</v>
      </c>
      <c r="M25" s="1" t="s">
        <v>4</v>
      </c>
    </row>
    <row r="26" spans="1:14" x14ac:dyDescent="0.25">
      <c r="A26" s="61">
        <f>A20</f>
        <v>1.769662350104359E-2</v>
      </c>
      <c r="B26" s="1" t="s">
        <v>5</v>
      </c>
      <c r="I26" s="61">
        <f>A21</f>
        <v>1.7681673269391306E-2</v>
      </c>
      <c r="J26" s="1" t="s">
        <v>5</v>
      </c>
    </row>
    <row r="27" spans="1:14" ht="16.5" thickBot="1" x14ac:dyDescent="0.3">
      <c r="A27" s="159">
        <v>1.5299999999999999E-2</v>
      </c>
      <c r="B27" s="1" t="s">
        <v>79</v>
      </c>
      <c r="I27" s="159">
        <v>1.77E-2</v>
      </c>
      <c r="J27" s="1" t="s">
        <v>79</v>
      </c>
    </row>
    <row r="28" spans="1:14" ht="16.5" thickTop="1" x14ac:dyDescent="0.25">
      <c r="A28" s="63">
        <f>SUM(A24:A27)</f>
        <v>0.20505639446583585</v>
      </c>
      <c r="B28" s="16" t="s">
        <v>82</v>
      </c>
      <c r="I28" s="63">
        <f>SUM(I24:I27)</f>
        <v>0.20703334245654026</v>
      </c>
      <c r="J28" s="16" t="s">
        <v>83</v>
      </c>
    </row>
    <row r="29" spans="1:14" ht="16.5" thickBot="1" x14ac:dyDescent="0.3"/>
    <row r="30" spans="1:14" ht="21" x14ac:dyDescent="0.35">
      <c r="A30" s="145" t="s">
        <v>22</v>
      </c>
      <c r="B30" s="146"/>
      <c r="C30" s="146"/>
      <c r="D30" s="146"/>
      <c r="E30" s="146"/>
      <c r="F30" s="146"/>
      <c r="G30" s="146"/>
      <c r="H30" s="146"/>
      <c r="I30" s="147" t="s">
        <v>75</v>
      </c>
      <c r="J30" s="146"/>
      <c r="K30" s="146"/>
      <c r="L30" s="146"/>
      <c r="M30" s="146"/>
      <c r="N30" s="148"/>
    </row>
    <row r="31" spans="1:14" x14ac:dyDescent="0.25">
      <c r="A31" s="149">
        <f>E11</f>
        <v>7.2059770964792241E-2</v>
      </c>
      <c r="B31" s="75" t="s">
        <v>3</v>
      </c>
      <c r="C31" s="75"/>
      <c r="D31" s="75"/>
      <c r="E31" s="75"/>
      <c r="F31" s="75"/>
      <c r="G31" s="75"/>
      <c r="H31" s="75"/>
      <c r="I31" s="150">
        <f>M11</f>
        <v>7.165166918714895E-2</v>
      </c>
      <c r="J31" s="75" t="s">
        <v>3</v>
      </c>
      <c r="K31" s="75"/>
      <c r="L31" s="75"/>
      <c r="M31" s="75"/>
      <c r="N31" s="151"/>
    </row>
    <row r="32" spans="1:14" x14ac:dyDescent="0.25">
      <c r="A32" s="152">
        <f>1/D32</f>
        <v>0.2</v>
      </c>
      <c r="B32" s="75" t="s">
        <v>78</v>
      </c>
      <c r="C32" s="75"/>
      <c r="D32" s="79">
        <v>5</v>
      </c>
      <c r="E32" s="75" t="s">
        <v>4</v>
      </c>
      <c r="F32" s="75"/>
      <c r="G32" s="75"/>
      <c r="H32" s="75"/>
      <c r="I32" s="153">
        <f>1/L32</f>
        <v>0.2</v>
      </c>
      <c r="J32" s="75" t="s">
        <v>78</v>
      </c>
      <c r="K32" s="75"/>
      <c r="L32" s="79">
        <v>5</v>
      </c>
      <c r="M32" s="75" t="s">
        <v>4</v>
      </c>
      <c r="N32" s="151"/>
    </row>
    <row r="33" spans="1:14" x14ac:dyDescent="0.25">
      <c r="A33" s="149">
        <f>A20</f>
        <v>1.769662350104359E-2</v>
      </c>
      <c r="B33" s="75" t="s">
        <v>5</v>
      </c>
      <c r="C33" s="75"/>
      <c r="D33" s="75"/>
      <c r="E33" s="75"/>
      <c r="F33" s="75"/>
      <c r="G33" s="75"/>
      <c r="H33" s="75"/>
      <c r="I33" s="150">
        <f>A21</f>
        <v>1.7681673269391306E-2</v>
      </c>
      <c r="J33" s="75" t="s">
        <v>5</v>
      </c>
      <c r="K33" s="75"/>
      <c r="L33" s="75"/>
      <c r="M33" s="75"/>
      <c r="N33" s="151"/>
    </row>
    <row r="34" spans="1:14" ht="16.5" thickBot="1" x14ac:dyDescent="0.3">
      <c r="A34" s="160">
        <v>1.5299999999999999E-2</v>
      </c>
      <c r="B34" s="75" t="s">
        <v>79</v>
      </c>
      <c r="C34" s="75"/>
      <c r="D34" s="75"/>
      <c r="E34" s="75"/>
      <c r="F34" s="75"/>
      <c r="G34" s="75"/>
      <c r="H34" s="75"/>
      <c r="I34" s="159">
        <v>1.77E-2</v>
      </c>
      <c r="J34" s="75" t="s">
        <v>79</v>
      </c>
      <c r="K34" s="75"/>
      <c r="L34" s="75"/>
      <c r="M34" s="75"/>
      <c r="N34" s="151"/>
    </row>
    <row r="35" spans="1:14" ht="17.25" thickTop="1" thickBot="1" x14ac:dyDescent="0.3">
      <c r="A35" s="154">
        <f>SUM(A31:A34)</f>
        <v>0.30505639446583588</v>
      </c>
      <c r="B35" s="155" t="s">
        <v>82</v>
      </c>
      <c r="C35" s="156"/>
      <c r="D35" s="156"/>
      <c r="E35" s="156"/>
      <c r="F35" s="156"/>
      <c r="G35" s="156"/>
      <c r="H35" s="156"/>
      <c r="I35" s="157">
        <f>SUM(I31:I34)</f>
        <v>0.30703334245654024</v>
      </c>
      <c r="J35" s="155" t="s">
        <v>83</v>
      </c>
      <c r="K35" s="156"/>
      <c r="L35" s="156"/>
      <c r="M35" s="156"/>
      <c r="N35" s="158"/>
    </row>
    <row r="36" spans="1:14" x14ac:dyDescent="0.25">
      <c r="A36" s="78"/>
      <c r="B36" s="80"/>
      <c r="C36" s="77"/>
      <c r="D36" s="78"/>
    </row>
    <row r="37" spans="1:14" x14ac:dyDescent="0.25">
      <c r="A37" s="78"/>
      <c r="B37" s="80"/>
      <c r="C37" s="77"/>
      <c r="D37" s="78"/>
    </row>
    <row r="38" spans="1:14" x14ac:dyDescent="0.25">
      <c r="A38" s="78"/>
      <c r="B38" s="80"/>
      <c r="C38" s="77"/>
      <c r="D38" s="78"/>
    </row>
    <row r="39" spans="1:14" x14ac:dyDescent="0.25">
      <c r="A39" s="78"/>
      <c r="B39" s="80"/>
      <c r="C39" s="77"/>
      <c r="D39" s="78"/>
    </row>
    <row r="40" spans="1:14" x14ac:dyDescent="0.25">
      <c r="A40" s="78"/>
      <c r="B40" s="80"/>
      <c r="C40" s="77"/>
      <c r="D40" s="78"/>
    </row>
    <row r="41" spans="1:14" x14ac:dyDescent="0.25">
      <c r="A41" s="78"/>
      <c r="B41" s="80"/>
      <c r="C41" s="77"/>
      <c r="D41" s="78"/>
    </row>
    <row r="42" spans="1:14" x14ac:dyDescent="0.25">
      <c r="A42" s="78"/>
      <c r="B42" s="80"/>
      <c r="C42" s="77"/>
      <c r="D42" s="78"/>
    </row>
    <row r="43" spans="1:14" x14ac:dyDescent="0.25">
      <c r="A43" s="78"/>
      <c r="B43" s="80"/>
      <c r="C43" s="77"/>
      <c r="D43" s="78"/>
    </row>
    <row r="44" spans="1:14" x14ac:dyDescent="0.25">
      <c r="A44" s="78"/>
      <c r="B44" s="80"/>
      <c r="C44" s="77"/>
      <c r="D44" s="78"/>
    </row>
    <row r="45" spans="1:14" x14ac:dyDescent="0.25">
      <c r="A45" s="78"/>
      <c r="B45" s="80"/>
      <c r="C45" s="77"/>
      <c r="D45" s="78"/>
    </row>
    <row r="46" spans="1:14" x14ac:dyDescent="0.25">
      <c r="A46" s="78"/>
      <c r="B46" s="80"/>
      <c r="C46" s="77"/>
      <c r="D46" s="78"/>
    </row>
    <row r="47" spans="1:14" x14ac:dyDescent="0.25">
      <c r="A47" s="78"/>
      <c r="B47" s="80"/>
      <c r="C47" s="77"/>
      <c r="D47" s="78"/>
    </row>
    <row r="48" spans="1:14" x14ac:dyDescent="0.25">
      <c r="A48" s="78"/>
      <c r="B48" s="81"/>
      <c r="C48" s="82"/>
      <c r="D48" s="78"/>
    </row>
  </sheetData>
  <pageMargins left="0.7" right="0.7" top="0.75" bottom="0.75" header="0.3" footer="0.3"/>
  <pageSetup orientation="portrait" r:id="rId1"/>
  <ignoredErrors>
    <ignoredError sqref="B10"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zoomScale="80" zoomScaleNormal="80" workbookViewId="0"/>
  </sheetViews>
  <sheetFormatPr defaultColWidth="8.88671875" defaultRowHeight="15.75" x14ac:dyDescent="0.25"/>
  <cols>
    <col min="1" max="1" width="21.44140625" style="1" customWidth="1"/>
    <col min="2" max="2" width="10.33203125" style="1" customWidth="1"/>
    <col min="3" max="3" width="11.109375" style="1" customWidth="1"/>
    <col min="4" max="4" width="8.88671875" style="1"/>
    <col min="5" max="5" width="15.33203125" style="1" customWidth="1"/>
    <col min="6" max="7" width="8.88671875" style="1"/>
    <col min="8" max="8" width="14.33203125" style="1" bestFit="1" customWidth="1"/>
    <col min="9" max="11" width="8.88671875" style="1"/>
    <col min="12" max="12" width="15.88671875" style="1" customWidth="1"/>
    <col min="13" max="16384" width="8.88671875" style="1"/>
  </cols>
  <sheetData>
    <row r="1" spans="1:13" ht="21" x14ac:dyDescent="0.35">
      <c r="A1" s="71" t="s">
        <v>192</v>
      </c>
      <c r="M1" s="130" t="s">
        <v>193</v>
      </c>
    </row>
    <row r="2" spans="1:13" x14ac:dyDescent="0.25">
      <c r="A2" s="16" t="s">
        <v>93</v>
      </c>
      <c r="H2" s="16" t="s">
        <v>117</v>
      </c>
    </row>
    <row r="3" spans="1:13" ht="47.25" x14ac:dyDescent="0.25">
      <c r="A3" s="74" t="s">
        <v>94</v>
      </c>
      <c r="B3" s="72" t="s">
        <v>95</v>
      </c>
      <c r="C3" s="72" t="s">
        <v>96</v>
      </c>
      <c r="D3" s="72" t="s">
        <v>97</v>
      </c>
      <c r="E3" s="72" t="s">
        <v>101</v>
      </c>
      <c r="F3" s="72" t="s">
        <v>98</v>
      </c>
      <c r="H3" s="74" t="s">
        <v>94</v>
      </c>
      <c r="I3" s="72" t="s">
        <v>95</v>
      </c>
      <c r="J3" s="72" t="s">
        <v>96</v>
      </c>
      <c r="K3" s="72" t="s">
        <v>97</v>
      </c>
      <c r="L3" s="72" t="s">
        <v>101</v>
      </c>
      <c r="M3" s="72" t="s">
        <v>98</v>
      </c>
    </row>
    <row r="4" spans="1:13" x14ac:dyDescent="0.25">
      <c r="A4" s="8" t="s">
        <v>33</v>
      </c>
      <c r="B4" s="73">
        <v>365</v>
      </c>
      <c r="C4" s="73">
        <v>426.75</v>
      </c>
      <c r="D4" s="127">
        <f>4*B4</f>
        <v>1460</v>
      </c>
      <c r="E4" s="129">
        <f>C4/D4</f>
        <v>0.29229452054794519</v>
      </c>
      <c r="F4" s="129">
        <f>C4/(B4*24)</f>
        <v>4.8715753424657532E-2</v>
      </c>
      <c r="H4" s="68" t="s">
        <v>115</v>
      </c>
      <c r="I4" s="73">
        <v>365</v>
      </c>
      <c r="J4" s="139">
        <v>2786</v>
      </c>
      <c r="K4" s="127">
        <f>4*I4</f>
        <v>1460</v>
      </c>
      <c r="L4" s="129">
        <f>J4/K4</f>
        <v>1.9082191780821918</v>
      </c>
      <c r="M4" s="129">
        <f>J4/(I4*24)</f>
        <v>0.31803652968036528</v>
      </c>
    </row>
    <row r="5" spans="1:13" ht="31.5" x14ac:dyDescent="0.25">
      <c r="A5" s="8" t="s">
        <v>34</v>
      </c>
      <c r="B5" s="73">
        <v>365</v>
      </c>
      <c r="C5" s="73">
        <v>1023.12</v>
      </c>
      <c r="D5" s="127">
        <f t="shared" ref="D5:D11" si="0">4*B5</f>
        <v>1460</v>
      </c>
      <c r="E5" s="129">
        <f t="shared" ref="E5:E11" si="1">C5/D5</f>
        <v>0.70076712328767121</v>
      </c>
      <c r="F5" s="129">
        <f t="shared" ref="F5:F24" si="2">C5/(B5*24)</f>
        <v>0.1167945205479452</v>
      </c>
      <c r="H5" s="68" t="s">
        <v>116</v>
      </c>
      <c r="I5" s="73">
        <v>365</v>
      </c>
      <c r="J5" s="139">
        <v>540</v>
      </c>
      <c r="K5" s="127">
        <f t="shared" ref="K5" si="3">4*I5</f>
        <v>1460</v>
      </c>
      <c r="L5" s="129">
        <f t="shared" ref="L5" si="4">J5/K5</f>
        <v>0.36986301369863012</v>
      </c>
      <c r="M5" s="129">
        <f t="shared" ref="M5:M24" si="5">J5/(I5*24)</f>
        <v>6.1643835616438353E-2</v>
      </c>
    </row>
    <row r="6" spans="1:13" x14ac:dyDescent="0.25">
      <c r="A6" s="8" t="s">
        <v>35</v>
      </c>
      <c r="B6" s="73">
        <v>365</v>
      </c>
      <c r="C6" s="73">
        <v>433.98</v>
      </c>
      <c r="D6" s="127">
        <f t="shared" si="0"/>
        <v>1460</v>
      </c>
      <c r="E6" s="129">
        <f t="shared" si="1"/>
        <v>0.29724657534246579</v>
      </c>
      <c r="F6" s="129">
        <f t="shared" si="2"/>
        <v>4.9541095890410961E-2</v>
      </c>
      <c r="H6" s="68" t="s">
        <v>195</v>
      </c>
      <c r="I6" s="73">
        <v>202</v>
      </c>
      <c r="J6" s="139">
        <v>1521</v>
      </c>
      <c r="K6" s="127">
        <f t="shared" ref="K6" si="6">4*I6</f>
        <v>808</v>
      </c>
      <c r="L6" s="129">
        <f t="shared" ref="L6" si="7">J6/K6</f>
        <v>1.8824257425742574</v>
      </c>
      <c r="M6" s="129">
        <f t="shared" ref="M6" si="8">J6/(I6*24)</f>
        <v>0.31373762376237624</v>
      </c>
    </row>
    <row r="7" spans="1:13" x14ac:dyDescent="0.25">
      <c r="A7" s="8" t="s">
        <v>36</v>
      </c>
      <c r="B7" s="73">
        <v>365</v>
      </c>
      <c r="C7" s="73">
        <v>378.78</v>
      </c>
      <c r="D7" s="127">
        <f t="shared" si="0"/>
        <v>1460</v>
      </c>
      <c r="E7" s="129">
        <f t="shared" si="1"/>
        <v>0.25943835616438354</v>
      </c>
      <c r="F7" s="129">
        <f t="shared" si="2"/>
        <v>4.3239726027397257E-2</v>
      </c>
      <c r="H7" s="68"/>
      <c r="I7" s="73"/>
      <c r="J7" s="73"/>
      <c r="K7" s="76"/>
      <c r="L7" s="59"/>
      <c r="M7" s="59"/>
    </row>
    <row r="8" spans="1:13" x14ac:dyDescent="0.25">
      <c r="A8" s="8" t="s">
        <v>37</v>
      </c>
      <c r="B8" s="73">
        <v>365</v>
      </c>
      <c r="C8" s="73">
        <v>512.13</v>
      </c>
      <c r="D8" s="127">
        <f t="shared" si="0"/>
        <v>1460</v>
      </c>
      <c r="E8" s="129">
        <f t="shared" si="1"/>
        <v>0.35077397260273974</v>
      </c>
      <c r="F8" s="129">
        <f t="shared" si="2"/>
        <v>5.8462328767123289E-2</v>
      </c>
      <c r="H8" s="68"/>
      <c r="I8" s="73"/>
      <c r="J8" s="73"/>
      <c r="K8" s="76"/>
      <c r="L8" s="59"/>
      <c r="M8" s="59"/>
    </row>
    <row r="9" spans="1:13" x14ac:dyDescent="0.25">
      <c r="A9" s="8" t="s">
        <v>38</v>
      </c>
      <c r="B9" s="73">
        <v>365</v>
      </c>
      <c r="C9" s="73">
        <v>720.99</v>
      </c>
      <c r="D9" s="127">
        <f t="shared" si="0"/>
        <v>1460</v>
      </c>
      <c r="E9" s="129">
        <f t="shared" si="1"/>
        <v>0.49382876712328766</v>
      </c>
      <c r="F9" s="129">
        <f t="shared" si="2"/>
        <v>8.2304794520547953E-2</v>
      </c>
      <c r="H9" s="68"/>
      <c r="I9" s="73"/>
      <c r="J9" s="73"/>
      <c r="K9" s="76"/>
      <c r="L9" s="59"/>
      <c r="M9" s="59"/>
    </row>
    <row r="10" spans="1:13" x14ac:dyDescent="0.25">
      <c r="A10" s="8" t="s">
        <v>39</v>
      </c>
      <c r="B10" s="73">
        <v>365</v>
      </c>
      <c r="C10" s="73">
        <v>124.84</v>
      </c>
      <c r="D10" s="127">
        <f t="shared" si="0"/>
        <v>1460</v>
      </c>
      <c r="E10" s="129">
        <f t="shared" si="1"/>
        <v>8.5506849315068495E-2</v>
      </c>
      <c r="F10" s="129">
        <f t="shared" si="2"/>
        <v>1.4251141552511415E-2</v>
      </c>
      <c r="H10" s="68"/>
      <c r="I10" s="73"/>
      <c r="J10" s="73"/>
      <c r="K10" s="76"/>
      <c r="L10" s="59"/>
      <c r="M10" s="59"/>
    </row>
    <row r="11" spans="1:13" x14ac:dyDescent="0.25">
      <c r="A11" s="9" t="s">
        <v>40</v>
      </c>
      <c r="B11" s="76">
        <v>365</v>
      </c>
      <c r="C11" s="76">
        <v>80.31</v>
      </c>
      <c r="D11" s="127">
        <f t="shared" si="0"/>
        <v>1460</v>
      </c>
      <c r="E11" s="129">
        <f t="shared" si="1"/>
        <v>5.5006849315068496E-2</v>
      </c>
      <c r="F11" s="129">
        <f t="shared" si="2"/>
        <v>9.1678082191780832E-3</v>
      </c>
      <c r="H11" s="68"/>
      <c r="I11" s="76"/>
      <c r="J11" s="76"/>
      <c r="K11" s="76"/>
      <c r="L11" s="136"/>
      <c r="M11" s="136"/>
    </row>
    <row r="12" spans="1:13" x14ac:dyDescent="0.25">
      <c r="A12" s="9" t="s">
        <v>177</v>
      </c>
      <c r="B12" s="76">
        <v>365</v>
      </c>
      <c r="C12" s="76">
        <v>243.41</v>
      </c>
      <c r="D12" s="127">
        <f t="shared" ref="D12:D23" si="9">4*B12</f>
        <v>1460</v>
      </c>
      <c r="E12" s="129">
        <f t="shared" ref="E12:E23" si="10">C12/D12</f>
        <v>0.16671917808219178</v>
      </c>
      <c r="F12" s="129">
        <f t="shared" ref="F12:F23" si="11">C12/(B12*24)</f>
        <v>2.7786529680365296E-2</v>
      </c>
      <c r="H12" s="68"/>
      <c r="I12" s="76"/>
      <c r="J12" s="76"/>
      <c r="K12" s="76"/>
      <c r="L12" s="136"/>
      <c r="M12" s="136"/>
    </row>
    <row r="13" spans="1:13" x14ac:dyDescent="0.25">
      <c r="A13" s="9" t="s">
        <v>178</v>
      </c>
      <c r="B13" s="76">
        <v>365</v>
      </c>
      <c r="C13" s="76">
        <v>196.39</v>
      </c>
      <c r="D13" s="127">
        <f t="shared" si="9"/>
        <v>1460</v>
      </c>
      <c r="E13" s="129">
        <f t="shared" si="10"/>
        <v>0.13451369863013699</v>
      </c>
      <c r="F13" s="129">
        <f t="shared" si="11"/>
        <v>2.2418949771689498E-2</v>
      </c>
      <c r="H13" s="68"/>
      <c r="I13" s="76"/>
      <c r="J13" s="76"/>
      <c r="K13" s="76"/>
      <c r="L13" s="136"/>
      <c r="M13" s="136"/>
    </row>
    <row r="14" spans="1:13" x14ac:dyDescent="0.25">
      <c r="A14" s="9" t="s">
        <v>179</v>
      </c>
      <c r="B14" s="76">
        <v>365</v>
      </c>
      <c r="C14" s="76">
        <v>270.92</v>
      </c>
      <c r="D14" s="127">
        <f t="shared" si="9"/>
        <v>1460</v>
      </c>
      <c r="E14" s="129">
        <f t="shared" si="10"/>
        <v>0.18556164383561644</v>
      </c>
      <c r="F14" s="129">
        <f t="shared" si="11"/>
        <v>3.0926940639269408E-2</v>
      </c>
      <c r="H14" s="68"/>
      <c r="I14" s="76"/>
      <c r="J14" s="76"/>
      <c r="K14" s="76"/>
      <c r="L14" s="136"/>
      <c r="M14" s="136"/>
    </row>
    <row r="15" spans="1:13" x14ac:dyDescent="0.25">
      <c r="A15" s="9" t="s">
        <v>180</v>
      </c>
      <c r="B15" s="76">
        <v>365</v>
      </c>
      <c r="C15" s="76">
        <v>11.77</v>
      </c>
      <c r="D15" s="127">
        <f t="shared" si="9"/>
        <v>1460</v>
      </c>
      <c r="E15" s="129">
        <f t="shared" si="10"/>
        <v>8.0616438356164374E-3</v>
      </c>
      <c r="F15" s="129">
        <f t="shared" si="11"/>
        <v>1.3436073059360731E-3</v>
      </c>
      <c r="H15" s="68"/>
      <c r="I15" s="76"/>
      <c r="J15" s="76"/>
      <c r="K15" s="76"/>
      <c r="L15" s="136"/>
      <c r="M15" s="136"/>
    </row>
    <row r="16" spans="1:13" ht="31.5" x14ac:dyDescent="0.25">
      <c r="A16" s="9" t="s">
        <v>181</v>
      </c>
      <c r="B16" s="76">
        <v>365</v>
      </c>
      <c r="C16" s="76">
        <v>11.41</v>
      </c>
      <c r="D16" s="127">
        <f t="shared" si="9"/>
        <v>1460</v>
      </c>
      <c r="E16" s="129">
        <f t="shared" si="10"/>
        <v>7.8150684931506849E-3</v>
      </c>
      <c r="F16" s="129">
        <f t="shared" si="11"/>
        <v>1.3025114155251142E-3</v>
      </c>
      <c r="H16" s="68"/>
      <c r="I16" s="76"/>
      <c r="J16" s="76"/>
      <c r="K16" s="76"/>
      <c r="L16" s="136"/>
      <c r="M16" s="136"/>
    </row>
    <row r="17" spans="1:13" x14ac:dyDescent="0.25">
      <c r="A17" s="9" t="s">
        <v>182</v>
      </c>
      <c r="B17" s="76">
        <v>308</v>
      </c>
      <c r="C17" s="76">
        <v>79.39</v>
      </c>
      <c r="D17" s="127">
        <f t="shared" si="9"/>
        <v>1232</v>
      </c>
      <c r="E17" s="129">
        <f t="shared" si="10"/>
        <v>6.4439935064935061E-2</v>
      </c>
      <c r="F17" s="129">
        <f t="shared" si="11"/>
        <v>1.0739989177489178E-2</v>
      </c>
      <c r="H17" s="68"/>
      <c r="I17" s="76"/>
      <c r="J17" s="76"/>
      <c r="K17" s="76"/>
      <c r="L17" s="136"/>
      <c r="M17" s="136"/>
    </row>
    <row r="18" spans="1:13" x14ac:dyDescent="0.25">
      <c r="A18" s="9" t="s">
        <v>183</v>
      </c>
      <c r="B18" s="76">
        <v>296</v>
      </c>
      <c r="C18" s="76">
        <v>72.930000000000007</v>
      </c>
      <c r="D18" s="127">
        <f t="shared" si="9"/>
        <v>1184</v>
      </c>
      <c r="E18" s="129">
        <f t="shared" si="10"/>
        <v>6.159628378378379E-2</v>
      </c>
      <c r="F18" s="129">
        <f t="shared" si="11"/>
        <v>1.0266047297297298E-2</v>
      </c>
      <c r="H18" s="68"/>
      <c r="I18" s="76"/>
      <c r="J18" s="76"/>
      <c r="K18" s="76"/>
      <c r="L18" s="136"/>
      <c r="M18" s="136"/>
    </row>
    <row r="19" spans="1:13" x14ac:dyDescent="0.25">
      <c r="A19" s="9" t="s">
        <v>184</v>
      </c>
      <c r="B19" s="76">
        <v>286</v>
      </c>
      <c r="C19" s="76">
        <v>247.06</v>
      </c>
      <c r="D19" s="127">
        <f t="shared" si="9"/>
        <v>1144</v>
      </c>
      <c r="E19" s="129">
        <f t="shared" si="10"/>
        <v>0.21596153846153845</v>
      </c>
      <c r="F19" s="129">
        <f t="shared" si="11"/>
        <v>3.5993589743589745E-2</v>
      </c>
      <c r="H19" s="68"/>
      <c r="I19" s="76"/>
      <c r="J19" s="76"/>
      <c r="K19" s="76"/>
      <c r="L19" s="136"/>
      <c r="M19" s="136"/>
    </row>
    <row r="20" spans="1:13" x14ac:dyDescent="0.25">
      <c r="A20" s="9" t="s">
        <v>185</v>
      </c>
      <c r="B20" s="76">
        <v>286</v>
      </c>
      <c r="C20" s="76">
        <v>58.56</v>
      </c>
      <c r="D20" s="127">
        <f t="shared" si="9"/>
        <v>1144</v>
      </c>
      <c r="E20" s="129">
        <f t="shared" si="10"/>
        <v>5.118881118881119E-2</v>
      </c>
      <c r="F20" s="129">
        <f t="shared" si="11"/>
        <v>8.531468531468531E-3</v>
      </c>
      <c r="H20" s="68"/>
      <c r="I20" s="76"/>
      <c r="J20" s="76"/>
      <c r="K20" s="76"/>
      <c r="L20" s="136"/>
      <c r="M20" s="136"/>
    </row>
    <row r="21" spans="1:13" x14ac:dyDescent="0.25">
      <c r="A21" s="9" t="s">
        <v>186</v>
      </c>
      <c r="B21" s="76">
        <v>270</v>
      </c>
      <c r="C21" s="76">
        <v>54.34</v>
      </c>
      <c r="D21" s="127">
        <f t="shared" si="9"/>
        <v>1080</v>
      </c>
      <c r="E21" s="129">
        <f t="shared" si="10"/>
        <v>5.0314814814814819E-2</v>
      </c>
      <c r="F21" s="129">
        <f t="shared" si="11"/>
        <v>8.3858024691358026E-3</v>
      </c>
      <c r="H21" s="68"/>
      <c r="I21" s="76"/>
      <c r="J21" s="76"/>
      <c r="K21" s="76"/>
      <c r="L21" s="136"/>
      <c r="M21" s="136"/>
    </row>
    <row r="22" spans="1:13" x14ac:dyDescent="0.25">
      <c r="A22" s="9" t="s">
        <v>187</v>
      </c>
      <c r="B22" s="76">
        <v>275</v>
      </c>
      <c r="C22" s="76">
        <v>70.150000000000006</v>
      </c>
      <c r="D22" s="127">
        <f t="shared" si="9"/>
        <v>1100</v>
      </c>
      <c r="E22" s="129">
        <f t="shared" si="10"/>
        <v>6.3772727272727273E-2</v>
      </c>
      <c r="F22" s="129">
        <f t="shared" si="11"/>
        <v>1.062878787878788E-2</v>
      </c>
      <c r="H22" s="68"/>
      <c r="I22" s="76"/>
      <c r="J22" s="76"/>
      <c r="K22" s="76"/>
      <c r="L22" s="136"/>
      <c r="M22" s="136"/>
    </row>
    <row r="23" spans="1:13" ht="31.5" x14ac:dyDescent="0.25">
      <c r="A23" s="9" t="s">
        <v>188</v>
      </c>
      <c r="B23" s="76">
        <v>268</v>
      </c>
      <c r="C23" s="76">
        <v>522.37</v>
      </c>
      <c r="D23" s="127">
        <f t="shared" si="9"/>
        <v>1072</v>
      </c>
      <c r="E23" s="129">
        <f t="shared" si="10"/>
        <v>0.48728544776119403</v>
      </c>
      <c r="F23" s="129">
        <f t="shared" si="11"/>
        <v>8.1214241293532344E-2</v>
      </c>
      <c r="H23" s="68"/>
      <c r="I23" s="76"/>
      <c r="J23" s="76"/>
      <c r="K23" s="76"/>
      <c r="L23" s="136"/>
      <c r="M23" s="136"/>
    </row>
    <row r="24" spans="1:13" x14ac:dyDescent="0.25">
      <c r="B24" s="127">
        <f>SUM(B4:B23)</f>
        <v>6734</v>
      </c>
      <c r="C24" s="127">
        <f>SUM(C4:C23)</f>
        <v>5539.6000000000013</v>
      </c>
      <c r="D24" s="127">
        <f>SUM(D4:D23)</f>
        <v>26936</v>
      </c>
      <c r="E24" s="129">
        <f>C24/D24</f>
        <v>0.20565785565785571</v>
      </c>
      <c r="F24" s="129">
        <f t="shared" si="2"/>
        <v>3.4276309276309286E-2</v>
      </c>
      <c r="I24" s="127">
        <f>SUM(I4:I23)</f>
        <v>932</v>
      </c>
      <c r="J24" s="127">
        <f>SUM(J4:J23)</f>
        <v>4847</v>
      </c>
      <c r="K24" s="127">
        <f>SUM(K4:K23)</f>
        <v>3728</v>
      </c>
      <c r="L24" s="129">
        <f>J24/K24</f>
        <v>1.3001609442060085</v>
      </c>
      <c r="M24" s="129">
        <f t="shared" si="5"/>
        <v>0.21669349070100144</v>
      </c>
    </row>
    <row r="26" spans="1:13" x14ac:dyDescent="0.25">
      <c r="B26" s="11" t="s">
        <v>70</v>
      </c>
      <c r="C26" s="11" t="s">
        <v>114</v>
      </c>
    </row>
    <row r="27" spans="1:13" x14ac:dyDescent="0.25">
      <c r="B27" s="128">
        <f>C24/B24</f>
        <v>0.82263142263142286</v>
      </c>
      <c r="C27" s="128">
        <f>J24/I24</f>
        <v>5.2006437768240339</v>
      </c>
      <c r="D27" s="1" t="s">
        <v>99</v>
      </c>
    </row>
    <row r="28" spans="1:13" x14ac:dyDescent="0.25">
      <c r="B28" s="129">
        <f>C24/(B24*24)</f>
        <v>3.4276309276309286E-2</v>
      </c>
      <c r="C28" s="129">
        <f>J24/(I24*24)</f>
        <v>0.21669349070100144</v>
      </c>
      <c r="D28" s="1" t="s">
        <v>100</v>
      </c>
    </row>
    <row r="30" spans="1:13" x14ac:dyDescent="0.25">
      <c r="A30" s="138"/>
      <c r="B30" s="39">
        <v>4.6100000000000003</v>
      </c>
      <c r="C30" s="140">
        <v>2.63</v>
      </c>
      <c r="D30" s="1" t="s">
        <v>102</v>
      </c>
    </row>
    <row r="32" spans="1:13" x14ac:dyDescent="0.25">
      <c r="B32" s="128">
        <f>B30*B27</f>
        <v>3.7923308583308595</v>
      </c>
      <c r="C32" s="128">
        <f>C30*C27</f>
        <v>13.677693133047208</v>
      </c>
      <c r="D32" s="1" t="s">
        <v>103</v>
      </c>
    </row>
    <row r="34" spans="2:4" x14ac:dyDescent="0.25">
      <c r="B34" s="127">
        <f>B32*365</f>
        <v>1384.2007632907637</v>
      </c>
      <c r="C34" s="127">
        <f>C32*365</f>
        <v>4992.3579935622311</v>
      </c>
      <c r="D34" s="1" t="s">
        <v>104</v>
      </c>
    </row>
    <row r="36" spans="2:4" x14ac:dyDescent="0.25">
      <c r="B36" s="39">
        <v>12</v>
      </c>
      <c r="C36" s="39">
        <v>12</v>
      </c>
      <c r="D36" s="1" t="s">
        <v>109</v>
      </c>
    </row>
    <row r="38" spans="2:4" x14ac:dyDescent="0.25">
      <c r="B38" s="127">
        <f>B34+B36</f>
        <v>1396.2007632907637</v>
      </c>
      <c r="C38" s="127">
        <f>C34+C36</f>
        <v>5004.3579935622311</v>
      </c>
      <c r="D38" s="1" t="s">
        <v>110</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5"/>
  <sheetViews>
    <sheetView zoomScale="80" zoomScaleNormal="80" workbookViewId="0">
      <pane xSplit="1" ySplit="1" topLeftCell="B2" activePane="bottomRight" state="frozen"/>
      <selection pane="topRight" activeCell="B1" sqref="B1"/>
      <selection pane="bottomLeft" activeCell="A2" sqref="A2"/>
      <selection pane="bottomRight" activeCell="A40" sqref="A40"/>
    </sheetView>
  </sheetViews>
  <sheetFormatPr defaultColWidth="8.88671875" defaultRowHeight="15.75" x14ac:dyDescent="0.25"/>
  <cols>
    <col min="1" max="1" width="25.109375" style="1" bestFit="1" customWidth="1"/>
    <col min="2" max="9" width="20.88671875" style="1" customWidth="1"/>
    <col min="10" max="10" width="14.33203125" style="1" customWidth="1"/>
    <col min="11" max="20" width="10.44140625" style="1" bestFit="1" customWidth="1"/>
    <col min="21" max="21" width="10.6640625" style="1" bestFit="1" customWidth="1"/>
    <col min="22" max="16384" width="8.88671875" style="1"/>
  </cols>
  <sheetData>
    <row r="1" spans="1:21" ht="47.25" x14ac:dyDescent="0.25">
      <c r="A1" s="10" t="s">
        <v>32</v>
      </c>
      <c r="B1" s="8" t="s">
        <v>33</v>
      </c>
      <c r="C1" s="8" t="s">
        <v>34</v>
      </c>
      <c r="D1" s="8" t="s">
        <v>35</v>
      </c>
      <c r="E1" s="8" t="s">
        <v>36</v>
      </c>
      <c r="F1" s="8" t="s">
        <v>37</v>
      </c>
      <c r="G1" s="8" t="s">
        <v>38</v>
      </c>
      <c r="H1" s="8" t="s">
        <v>39</v>
      </c>
      <c r="I1" s="9" t="s">
        <v>40</v>
      </c>
      <c r="J1" s="9" t="s">
        <v>177</v>
      </c>
      <c r="K1" s="9" t="s">
        <v>178</v>
      </c>
      <c r="L1" s="9" t="s">
        <v>179</v>
      </c>
      <c r="M1" s="9" t="s">
        <v>180</v>
      </c>
      <c r="N1" s="9" t="s">
        <v>181</v>
      </c>
      <c r="O1" s="9" t="s">
        <v>182</v>
      </c>
      <c r="P1" s="9" t="s">
        <v>183</v>
      </c>
      <c r="Q1" s="9" t="s">
        <v>184</v>
      </c>
      <c r="R1" s="9" t="s">
        <v>185</v>
      </c>
      <c r="S1" s="9" t="s">
        <v>186</v>
      </c>
      <c r="T1" s="9" t="s">
        <v>187</v>
      </c>
      <c r="U1" s="9" t="s">
        <v>188</v>
      </c>
    </row>
    <row r="2" spans="1:21" x14ac:dyDescent="0.25">
      <c r="A2" s="109" t="s">
        <v>41</v>
      </c>
      <c r="B2" s="110" t="s">
        <v>42</v>
      </c>
      <c r="C2" s="110" t="s">
        <v>42</v>
      </c>
      <c r="D2" s="110" t="s">
        <v>42</v>
      </c>
      <c r="E2" s="110" t="s">
        <v>42</v>
      </c>
      <c r="F2" s="110" t="s">
        <v>42</v>
      </c>
      <c r="G2" s="110" t="s">
        <v>42</v>
      </c>
      <c r="H2" s="110" t="s">
        <v>42</v>
      </c>
      <c r="I2" s="110" t="s">
        <v>42</v>
      </c>
      <c r="J2" s="112" t="s">
        <v>42</v>
      </c>
      <c r="K2" s="112" t="s">
        <v>42</v>
      </c>
      <c r="L2" s="112" t="s">
        <v>42</v>
      </c>
      <c r="M2" s="112" t="s">
        <v>42</v>
      </c>
      <c r="N2" s="112" t="s">
        <v>42</v>
      </c>
      <c r="O2" s="112" t="s">
        <v>42</v>
      </c>
      <c r="P2" s="112" t="s">
        <v>42</v>
      </c>
      <c r="Q2" s="112" t="s">
        <v>42</v>
      </c>
      <c r="R2" s="112" t="s">
        <v>42</v>
      </c>
      <c r="S2" s="112" t="s">
        <v>42</v>
      </c>
      <c r="T2" s="112" t="s">
        <v>42</v>
      </c>
      <c r="U2" s="112" t="s">
        <v>42</v>
      </c>
    </row>
    <row r="3" spans="1:21" x14ac:dyDescent="0.25">
      <c r="A3" s="109" t="s">
        <v>43</v>
      </c>
      <c r="B3" s="111">
        <v>42592</v>
      </c>
      <c r="C3" s="111">
        <v>42689</v>
      </c>
      <c r="D3" s="111">
        <v>42738</v>
      </c>
      <c r="E3" s="111">
        <v>42747</v>
      </c>
      <c r="F3" s="111">
        <v>42760</v>
      </c>
      <c r="G3" s="111">
        <v>42895</v>
      </c>
      <c r="H3" s="111">
        <v>43000</v>
      </c>
      <c r="I3" s="112">
        <v>43068</v>
      </c>
      <c r="J3" s="112">
        <v>43230</v>
      </c>
      <c r="K3" s="112">
        <v>43395</v>
      </c>
      <c r="L3" s="112">
        <v>43398</v>
      </c>
      <c r="M3" s="112">
        <v>43445</v>
      </c>
      <c r="N3" s="112">
        <v>43461</v>
      </c>
      <c r="O3" s="112">
        <v>43523</v>
      </c>
      <c r="P3" s="112">
        <v>43535</v>
      </c>
      <c r="Q3" s="112">
        <v>43545</v>
      </c>
      <c r="R3" s="112">
        <v>43545</v>
      </c>
      <c r="S3" s="112">
        <v>43561</v>
      </c>
      <c r="T3" s="112">
        <v>43556</v>
      </c>
      <c r="U3" s="112">
        <v>43563</v>
      </c>
    </row>
    <row r="4" spans="1:21" x14ac:dyDescent="0.25">
      <c r="A4" s="113" t="s">
        <v>44</v>
      </c>
      <c r="B4" s="114" t="s">
        <v>45</v>
      </c>
      <c r="C4" s="114" t="s">
        <v>46</v>
      </c>
      <c r="D4" s="114" t="s">
        <v>46</v>
      </c>
      <c r="E4" s="114" t="s">
        <v>45</v>
      </c>
      <c r="F4" s="114" t="s">
        <v>45</v>
      </c>
      <c r="G4" s="114" t="s">
        <v>46</v>
      </c>
      <c r="H4" s="114" t="s">
        <v>46</v>
      </c>
      <c r="I4" s="115" t="s">
        <v>46</v>
      </c>
      <c r="J4" s="115" t="s">
        <v>46</v>
      </c>
      <c r="K4" s="115" t="s">
        <v>46</v>
      </c>
      <c r="L4" s="115" t="s">
        <v>46</v>
      </c>
      <c r="M4" s="115" t="s">
        <v>46</v>
      </c>
      <c r="N4" s="115" t="s">
        <v>46</v>
      </c>
      <c r="O4" s="115" t="s">
        <v>46</v>
      </c>
      <c r="P4" s="115" t="s">
        <v>46</v>
      </c>
      <c r="Q4" s="115" t="s">
        <v>45</v>
      </c>
      <c r="R4" s="115" t="s">
        <v>46</v>
      </c>
      <c r="S4" s="115" t="s">
        <v>46</v>
      </c>
      <c r="T4" s="115" t="s">
        <v>46</v>
      </c>
      <c r="U4" s="115" t="s">
        <v>45</v>
      </c>
    </row>
    <row r="5" spans="1:21" x14ac:dyDescent="0.25">
      <c r="A5" s="113" t="s">
        <v>47</v>
      </c>
      <c r="B5" s="114" t="s">
        <v>48</v>
      </c>
      <c r="C5" s="114" t="s">
        <v>49</v>
      </c>
      <c r="D5" s="114" t="s">
        <v>49</v>
      </c>
      <c r="E5" s="114" t="s">
        <v>49</v>
      </c>
      <c r="F5" s="114" t="s">
        <v>49</v>
      </c>
      <c r="G5" s="114" t="s">
        <v>49</v>
      </c>
      <c r="H5" s="114" t="s">
        <v>48</v>
      </c>
      <c r="I5" s="115" t="s">
        <v>48</v>
      </c>
      <c r="J5" s="6" t="s">
        <v>48</v>
      </c>
      <c r="K5" s="6" t="s">
        <v>48</v>
      </c>
      <c r="L5" s="6" t="s">
        <v>189</v>
      </c>
      <c r="M5" s="6" t="s">
        <v>189</v>
      </c>
      <c r="N5" s="6" t="s">
        <v>48</v>
      </c>
      <c r="O5" s="6" t="s">
        <v>189</v>
      </c>
      <c r="P5" s="6"/>
      <c r="Q5" s="6" t="s">
        <v>189</v>
      </c>
      <c r="R5" s="6" t="s">
        <v>189</v>
      </c>
      <c r="S5" s="6"/>
      <c r="T5" s="6"/>
      <c r="U5" s="6"/>
    </row>
    <row r="6" spans="1:21" x14ac:dyDescent="0.25">
      <c r="A6" s="116" t="s">
        <v>50</v>
      </c>
      <c r="B6" s="4">
        <f>4907.24-452+294.44</f>
        <v>4749.6799999999994</v>
      </c>
      <c r="C6" s="4">
        <f>21474/3-904</f>
        <v>6254</v>
      </c>
      <c r="D6" s="4">
        <f>21474/3-904</f>
        <v>6254</v>
      </c>
      <c r="E6" s="4">
        <f>4907.25-452+294.43</f>
        <v>4749.68</v>
      </c>
      <c r="F6" s="4">
        <f>294.39+4906.51-452</f>
        <v>4748.9000000000005</v>
      </c>
      <c r="G6" s="5">
        <v>6254</v>
      </c>
      <c r="H6" s="5">
        <f>6254+429.54</f>
        <v>6683.54</v>
      </c>
      <c r="I6" s="6">
        <v>6255</v>
      </c>
      <c r="J6" s="6">
        <v>6255</v>
      </c>
      <c r="K6" s="6">
        <v>6255</v>
      </c>
      <c r="L6" s="6">
        <v>6255</v>
      </c>
      <c r="M6" s="6">
        <v>6255</v>
      </c>
      <c r="N6" s="6">
        <v>6255</v>
      </c>
      <c r="O6" s="6">
        <v>6255</v>
      </c>
      <c r="P6" s="6">
        <v>6255</v>
      </c>
      <c r="Q6" s="6">
        <v>4749.68</v>
      </c>
      <c r="R6" s="6">
        <v>6255</v>
      </c>
      <c r="S6" s="6">
        <v>6255</v>
      </c>
      <c r="T6" s="6">
        <v>6255</v>
      </c>
      <c r="U6" s="6">
        <v>4749.68</v>
      </c>
    </row>
    <row r="7" spans="1:21" x14ac:dyDescent="0.25">
      <c r="A7" s="117" t="s">
        <v>51</v>
      </c>
      <c r="B7" s="4">
        <f>452</f>
        <v>452</v>
      </c>
      <c r="C7" s="4">
        <f>452*2</f>
        <v>904</v>
      </c>
      <c r="D7" s="4">
        <f>452*2</f>
        <v>904</v>
      </c>
      <c r="E7" s="4">
        <f>452</f>
        <v>452</v>
      </c>
      <c r="F7" s="4">
        <f>452</f>
        <v>452</v>
      </c>
      <c r="G7" s="5">
        <v>904</v>
      </c>
      <c r="H7" s="5">
        <v>510</v>
      </c>
      <c r="I7" s="6">
        <v>510</v>
      </c>
      <c r="J7" s="6">
        <v>510</v>
      </c>
      <c r="K7" s="6">
        <v>510</v>
      </c>
      <c r="L7" s="6">
        <v>510</v>
      </c>
      <c r="M7" s="6">
        <v>510</v>
      </c>
      <c r="N7" s="6">
        <v>510</v>
      </c>
      <c r="O7" s="6">
        <v>510</v>
      </c>
      <c r="P7" s="6">
        <v>510</v>
      </c>
      <c r="Q7" s="6">
        <v>255</v>
      </c>
      <c r="R7" s="6">
        <v>510</v>
      </c>
      <c r="S7" s="6">
        <v>510</v>
      </c>
      <c r="T7" s="6">
        <v>510</v>
      </c>
      <c r="U7" s="6">
        <v>255</v>
      </c>
    </row>
    <row r="8" spans="1:21" x14ac:dyDescent="0.25">
      <c r="A8" s="113" t="s">
        <v>52</v>
      </c>
      <c r="B8" s="4">
        <v>704.24</v>
      </c>
      <c r="C8" s="4">
        <v>855.67</v>
      </c>
      <c r="D8" s="4">
        <v>460</v>
      </c>
      <c r="E8" s="4">
        <v>12041.88</v>
      </c>
      <c r="F8" s="4">
        <f>918.74+135.04</f>
        <v>1053.78</v>
      </c>
      <c r="G8" s="5">
        <v>0</v>
      </c>
      <c r="H8" s="5">
        <v>2773.48</v>
      </c>
      <c r="I8" s="6">
        <v>0</v>
      </c>
      <c r="J8" s="6">
        <v>593</v>
      </c>
      <c r="K8" s="6">
        <v>1500</v>
      </c>
      <c r="L8" s="6">
        <v>1500</v>
      </c>
      <c r="M8" s="6">
        <v>1500</v>
      </c>
      <c r="N8" s="6">
        <v>2297</v>
      </c>
      <c r="O8" s="6">
        <v>358</v>
      </c>
      <c r="P8" s="6">
        <v>1000</v>
      </c>
      <c r="Q8" s="6">
        <v>3058</v>
      </c>
      <c r="R8" s="6">
        <v>437</v>
      </c>
      <c r="S8" s="6">
        <v>500</v>
      </c>
      <c r="T8" s="6">
        <v>750</v>
      </c>
      <c r="U8" s="6">
        <v>9450</v>
      </c>
    </row>
    <row r="9" spans="1:21" x14ac:dyDescent="0.25">
      <c r="A9" s="113" t="s">
        <v>176</v>
      </c>
      <c r="B9" s="4">
        <f>5302.27+5567.5</f>
        <v>10869.77</v>
      </c>
      <c r="C9" s="4">
        <f>551.57+6599.62</f>
        <v>7151.19</v>
      </c>
      <c r="D9" s="4">
        <v>5705</v>
      </c>
      <c r="E9" s="4">
        <v>1533</v>
      </c>
      <c r="F9" s="4">
        <v>7220</v>
      </c>
      <c r="G9" s="5">
        <v>6540</v>
      </c>
      <c r="H9" s="5">
        <v>7840</v>
      </c>
      <c r="I9" s="6">
        <v>3917</v>
      </c>
      <c r="J9" s="6">
        <v>7895</v>
      </c>
      <c r="K9" s="6">
        <v>6718</v>
      </c>
      <c r="L9" s="6">
        <v>6656</v>
      </c>
      <c r="M9" s="6">
        <v>8029</v>
      </c>
      <c r="N9" s="6">
        <v>9856</v>
      </c>
      <c r="O9" s="6">
        <v>7490</v>
      </c>
      <c r="P9" s="6">
        <v>8636</v>
      </c>
      <c r="Q9" s="6">
        <v>3338</v>
      </c>
      <c r="R9" s="6">
        <v>6834</v>
      </c>
      <c r="S9" s="6">
        <v>8832</v>
      </c>
      <c r="T9" s="6">
        <v>8138</v>
      </c>
      <c r="U9" s="6">
        <v>7621</v>
      </c>
    </row>
    <row r="10" spans="1:21" x14ac:dyDescent="0.25">
      <c r="A10" s="113" t="s">
        <v>53</v>
      </c>
      <c r="B10" s="4">
        <v>0</v>
      </c>
      <c r="C10" s="4">
        <v>0</v>
      </c>
      <c r="D10" s="4">
        <v>0</v>
      </c>
      <c r="E10" s="4">
        <v>0</v>
      </c>
      <c r="F10" s="4">
        <v>0</v>
      </c>
      <c r="G10" s="5">
        <v>0</v>
      </c>
      <c r="H10" s="5">
        <v>0</v>
      </c>
      <c r="I10" s="6">
        <v>0</v>
      </c>
      <c r="J10" s="6">
        <v>0</v>
      </c>
      <c r="K10" s="6">
        <v>0</v>
      </c>
      <c r="L10" s="6">
        <v>0</v>
      </c>
      <c r="M10" s="6">
        <v>0</v>
      </c>
      <c r="N10" s="6">
        <v>0</v>
      </c>
      <c r="O10" s="6">
        <v>0</v>
      </c>
      <c r="P10" s="6">
        <v>0</v>
      </c>
      <c r="Q10" s="6">
        <v>0</v>
      </c>
      <c r="R10" s="6">
        <v>0</v>
      </c>
      <c r="S10" s="6">
        <v>0</v>
      </c>
      <c r="T10" s="6">
        <v>0</v>
      </c>
      <c r="U10" s="6">
        <v>0</v>
      </c>
    </row>
    <row r="11" spans="1:21" x14ac:dyDescent="0.25">
      <c r="A11" s="113" t="s">
        <v>54</v>
      </c>
      <c r="B11" s="4">
        <f>1888.62/20</f>
        <v>94.430999999999997</v>
      </c>
      <c r="C11" s="4">
        <v>94</v>
      </c>
      <c r="D11" s="4">
        <v>94</v>
      </c>
      <c r="E11" s="4">
        <f>1888.62/20</f>
        <v>94.430999999999997</v>
      </c>
      <c r="F11" s="4">
        <v>94</v>
      </c>
      <c r="G11" s="5">
        <v>94</v>
      </c>
      <c r="H11" s="5">
        <v>94</v>
      </c>
      <c r="I11" s="6">
        <v>94</v>
      </c>
      <c r="J11" s="6">
        <v>94</v>
      </c>
      <c r="K11" s="6">
        <v>94</v>
      </c>
      <c r="L11" s="6">
        <v>94</v>
      </c>
      <c r="M11" s="6">
        <v>94</v>
      </c>
      <c r="N11" s="6">
        <v>94</v>
      </c>
      <c r="O11" s="6">
        <v>94</v>
      </c>
      <c r="P11" s="6">
        <v>94</v>
      </c>
      <c r="Q11" s="6">
        <v>94</v>
      </c>
      <c r="R11" s="6">
        <v>94</v>
      </c>
      <c r="S11" s="6">
        <v>94</v>
      </c>
      <c r="T11" s="6">
        <v>94</v>
      </c>
      <c r="U11" s="6">
        <v>94</v>
      </c>
    </row>
    <row r="12" spans="1:21" x14ac:dyDescent="0.25">
      <c r="A12" s="113" t="s">
        <v>55</v>
      </c>
      <c r="B12" s="4">
        <v>0</v>
      </c>
      <c r="C12" s="4">
        <v>0</v>
      </c>
      <c r="D12" s="4">
        <v>0</v>
      </c>
      <c r="E12" s="4"/>
      <c r="F12" s="4">
        <v>0</v>
      </c>
      <c r="G12" s="5">
        <v>0</v>
      </c>
      <c r="H12" s="5">
        <v>0</v>
      </c>
      <c r="I12" s="6">
        <v>0</v>
      </c>
      <c r="J12" s="6">
        <v>0</v>
      </c>
      <c r="K12" s="6">
        <v>0</v>
      </c>
      <c r="L12" s="6">
        <v>0</v>
      </c>
      <c r="M12" s="6">
        <v>0</v>
      </c>
      <c r="N12" s="6">
        <v>0</v>
      </c>
      <c r="O12" s="6">
        <v>0</v>
      </c>
      <c r="P12" s="6">
        <v>0</v>
      </c>
      <c r="Q12" s="6">
        <v>0</v>
      </c>
      <c r="R12" s="6">
        <v>0</v>
      </c>
      <c r="S12" s="6">
        <v>0</v>
      </c>
      <c r="T12" s="6">
        <v>0</v>
      </c>
      <c r="U12" s="6">
        <v>0</v>
      </c>
    </row>
    <row r="13" spans="1:21" x14ac:dyDescent="0.25">
      <c r="A13" s="118" t="s">
        <v>56</v>
      </c>
      <c r="B13" s="6">
        <v>0</v>
      </c>
      <c r="C13" s="6">
        <v>632.75</v>
      </c>
      <c r="D13" s="6">
        <v>633</v>
      </c>
      <c r="E13" s="6">
        <v>0</v>
      </c>
      <c r="F13" s="6">
        <f>208.43+250</f>
        <v>458.43</v>
      </c>
      <c r="G13" s="5">
        <v>633</v>
      </c>
      <c r="H13" s="5">
        <v>632.75</v>
      </c>
      <c r="I13" s="6">
        <v>0</v>
      </c>
      <c r="J13" s="121">
        <v>0</v>
      </c>
      <c r="K13" s="121">
        <v>632.75</v>
      </c>
      <c r="L13" s="121">
        <v>632.75</v>
      </c>
      <c r="M13" s="121">
        <v>410</v>
      </c>
      <c r="N13" s="121">
        <v>0</v>
      </c>
      <c r="O13" s="121">
        <v>0</v>
      </c>
      <c r="P13" s="121">
        <v>632.75</v>
      </c>
      <c r="Q13" s="121">
        <v>0</v>
      </c>
      <c r="R13" s="121">
        <v>0</v>
      </c>
      <c r="S13" s="121">
        <v>0</v>
      </c>
      <c r="T13" s="121">
        <v>0</v>
      </c>
      <c r="U13" s="121">
        <v>632.75</v>
      </c>
    </row>
    <row r="14" spans="1:21" x14ac:dyDescent="0.25">
      <c r="A14" s="119" t="s">
        <v>57</v>
      </c>
      <c r="B14" s="13">
        <v>0</v>
      </c>
      <c r="C14" s="14">
        <v>0</v>
      </c>
      <c r="D14" s="14">
        <v>0</v>
      </c>
      <c r="E14" s="13">
        <v>0</v>
      </c>
      <c r="F14" s="14">
        <v>0</v>
      </c>
      <c r="G14" s="14">
        <v>0</v>
      </c>
      <c r="H14" s="14">
        <v>0</v>
      </c>
      <c r="I14" s="13">
        <v>0</v>
      </c>
      <c r="J14" s="45"/>
      <c r="K14" s="45"/>
      <c r="L14" s="45"/>
      <c r="M14" s="45"/>
      <c r="N14" s="45"/>
      <c r="O14" s="45"/>
      <c r="P14" s="45"/>
      <c r="Q14" s="45"/>
      <c r="R14" s="45"/>
      <c r="S14" s="45"/>
      <c r="T14" s="45"/>
      <c r="U14" s="45"/>
    </row>
    <row r="15" spans="1:21" x14ac:dyDescent="0.25">
      <c r="A15" s="113" t="s">
        <v>58</v>
      </c>
      <c r="B15" s="122">
        <f>SUM(B6:B14)</f>
        <v>16870.120999999999</v>
      </c>
      <c r="C15" s="122">
        <f>SUM(C6:C14)</f>
        <v>15891.61</v>
      </c>
      <c r="D15" s="122">
        <f>SUM(D6:D14)</f>
        <v>14050</v>
      </c>
      <c r="E15" s="122">
        <f>SUM(E6:E12)</f>
        <v>18870.990999999998</v>
      </c>
      <c r="F15" s="122">
        <f>SUM(F6:F14)</f>
        <v>14027.11</v>
      </c>
      <c r="G15" s="122">
        <f>SUM(G6:G14)</f>
        <v>14425</v>
      </c>
      <c r="H15" s="122">
        <f>SUM(H6:H14)</f>
        <v>18533.77</v>
      </c>
      <c r="I15" s="122">
        <f>SUM(I6:I14)</f>
        <v>10776</v>
      </c>
      <c r="J15" s="122">
        <v>15347</v>
      </c>
      <c r="K15" s="122">
        <v>15709.75</v>
      </c>
      <c r="L15" s="122">
        <v>15647.75</v>
      </c>
      <c r="M15" s="122">
        <v>16798</v>
      </c>
      <c r="N15" s="122">
        <v>19012</v>
      </c>
      <c r="O15" s="122">
        <v>14707</v>
      </c>
      <c r="P15" s="122">
        <v>17127.75</v>
      </c>
      <c r="Q15" s="122">
        <v>11494.68</v>
      </c>
      <c r="R15" s="122">
        <v>14130</v>
      </c>
      <c r="S15" s="122">
        <v>16191</v>
      </c>
      <c r="T15" s="122">
        <v>15747</v>
      </c>
      <c r="U15" s="122">
        <v>22802.43</v>
      </c>
    </row>
    <row r="16" spans="1:21" x14ac:dyDescent="0.25">
      <c r="A16" s="120" t="s">
        <v>59</v>
      </c>
      <c r="B16" s="122">
        <f>B15-B7-B11</f>
        <v>16323.689999999999</v>
      </c>
      <c r="C16" s="122">
        <f t="shared" ref="C16:I16" si="0">C15-C7-C11</f>
        <v>14893.61</v>
      </c>
      <c r="D16" s="122">
        <f t="shared" si="0"/>
        <v>13052</v>
      </c>
      <c r="E16" s="122">
        <f t="shared" si="0"/>
        <v>18324.559999999998</v>
      </c>
      <c r="F16" s="122">
        <f t="shared" si="0"/>
        <v>13481.11</v>
      </c>
      <c r="G16" s="122">
        <f t="shared" si="0"/>
        <v>13427</v>
      </c>
      <c r="H16" s="122">
        <f t="shared" si="0"/>
        <v>17929.77</v>
      </c>
      <c r="I16" s="122">
        <f t="shared" si="0"/>
        <v>10172</v>
      </c>
      <c r="J16" s="122">
        <v>14837</v>
      </c>
      <c r="K16" s="122">
        <v>15199.75</v>
      </c>
      <c r="L16" s="122">
        <v>15137.75</v>
      </c>
      <c r="M16" s="122">
        <v>16288</v>
      </c>
      <c r="N16" s="122">
        <v>18502</v>
      </c>
      <c r="O16" s="122">
        <v>14197</v>
      </c>
      <c r="P16" s="122">
        <v>16617.75</v>
      </c>
      <c r="Q16" s="122">
        <v>11239.68</v>
      </c>
      <c r="R16" s="122">
        <v>13620</v>
      </c>
      <c r="S16" s="122">
        <v>15681</v>
      </c>
      <c r="T16" s="122">
        <v>15237</v>
      </c>
      <c r="U16" s="122">
        <v>22547.43</v>
      </c>
    </row>
    <row r="18" spans="1:5" x14ac:dyDescent="0.25">
      <c r="A18" s="37" t="s">
        <v>67</v>
      </c>
      <c r="B18" s="193" t="s">
        <v>197</v>
      </c>
      <c r="C18" s="193"/>
    </row>
    <row r="19" spans="1:5" x14ac:dyDescent="0.25">
      <c r="B19" s="11" t="s">
        <v>45</v>
      </c>
      <c r="C19" s="11" t="s">
        <v>46</v>
      </c>
      <c r="D19" s="41" t="s">
        <v>196</v>
      </c>
    </row>
    <row r="20" spans="1:5" x14ac:dyDescent="0.25">
      <c r="A20" s="3" t="s">
        <v>201</v>
      </c>
      <c r="B20" s="123">
        <f>AVERAGEIFS($B6:$U6,$B$4:$U$4,B$19)</f>
        <v>4749.5240000000003</v>
      </c>
      <c r="C20" s="123">
        <f>AVERAGEIFS($B6:$U6,$B$4:$U$4,C$19)</f>
        <v>6283.369333333334</v>
      </c>
      <c r="D20" s="123">
        <f>630.5+165.6</f>
        <v>796.1</v>
      </c>
      <c r="E20" s="47" t="s">
        <v>69</v>
      </c>
    </row>
    <row r="21" spans="1:5" x14ac:dyDescent="0.25">
      <c r="A21" s="2" t="s">
        <v>52</v>
      </c>
      <c r="B21" s="123">
        <f t="shared" ref="B21:C23" si="1">AVERAGE($B8:$U8)</f>
        <v>2041.6025000000002</v>
      </c>
      <c r="C21" s="123">
        <f t="shared" si="1"/>
        <v>2041.6025000000002</v>
      </c>
      <c r="D21" s="123">
        <v>0</v>
      </c>
      <c r="E21" s="47" t="s">
        <v>70</v>
      </c>
    </row>
    <row r="22" spans="1:5" x14ac:dyDescent="0.25">
      <c r="A22" s="2" t="s">
        <v>176</v>
      </c>
      <c r="B22" s="123">
        <f t="shared" si="1"/>
        <v>7040.9479999999994</v>
      </c>
      <c r="C22" s="123">
        <f t="shared" si="1"/>
        <v>7040.9479999999994</v>
      </c>
      <c r="D22" s="123">
        <v>0</v>
      </c>
      <c r="E22" s="47" t="s">
        <v>70</v>
      </c>
    </row>
    <row r="23" spans="1:5" x14ac:dyDescent="0.25">
      <c r="A23" s="2" t="s">
        <v>53</v>
      </c>
      <c r="B23" s="123">
        <f t="shared" si="1"/>
        <v>0</v>
      </c>
      <c r="C23" s="123">
        <f t="shared" si="1"/>
        <v>0</v>
      </c>
      <c r="D23" s="123">
        <v>0</v>
      </c>
      <c r="E23" s="47" t="s">
        <v>70</v>
      </c>
    </row>
    <row r="24" spans="1:5" x14ac:dyDescent="0.25">
      <c r="A24" s="2" t="s">
        <v>54</v>
      </c>
      <c r="B24" s="40">
        <v>94</v>
      </c>
      <c r="C24" s="40">
        <v>94</v>
      </c>
      <c r="D24" s="40">
        <v>4.75</v>
      </c>
      <c r="E24" s="48"/>
    </row>
    <row r="25" spans="1:5" x14ac:dyDescent="0.25">
      <c r="A25" s="2" t="s">
        <v>55</v>
      </c>
      <c r="B25" s="123">
        <f>AVERAGE($B12:$U12)</f>
        <v>0</v>
      </c>
      <c r="C25" s="123">
        <f>AVERAGE($B12:$U12)</f>
        <v>0</v>
      </c>
      <c r="D25" s="123">
        <f>AVERAGE($B12:$U12)</f>
        <v>0</v>
      </c>
      <c r="E25" s="47"/>
    </row>
    <row r="26" spans="1:5" x14ac:dyDescent="0.25">
      <c r="A26" s="7" t="s">
        <v>56</v>
      </c>
      <c r="B26" s="42">
        <v>458.43</v>
      </c>
      <c r="C26" s="42">
        <v>633</v>
      </c>
      <c r="D26" s="42"/>
      <c r="E26" s="47"/>
    </row>
    <row r="27" spans="1:5" ht="16.5" thickBot="1" x14ac:dyDescent="0.3">
      <c r="A27" s="125" t="s">
        <v>57</v>
      </c>
      <c r="B27" s="126">
        <f>AVERAGE($B14:$U14)</f>
        <v>0</v>
      </c>
      <c r="C27" s="126">
        <f>AVERAGE($B14:$U14)</f>
        <v>0</v>
      </c>
      <c r="D27" s="126">
        <f>AVERAGE($B14:$U14)</f>
        <v>0</v>
      </c>
      <c r="E27" s="47"/>
    </row>
    <row r="28" spans="1:5" ht="16.5" thickTop="1" x14ac:dyDescent="0.25">
      <c r="A28" s="16" t="s">
        <v>60</v>
      </c>
      <c r="B28" s="124">
        <f>SUM(B20:B27)</f>
        <v>14384.504499999999</v>
      </c>
      <c r="C28" s="124">
        <f>SUM(C20:C27)</f>
        <v>16092.919833333333</v>
      </c>
      <c r="D28" s="124">
        <f>SUM(D20:D27)</f>
        <v>800.85</v>
      </c>
      <c r="E28" s="46" t="s">
        <v>68</v>
      </c>
    </row>
    <row r="29" spans="1:5" x14ac:dyDescent="0.25">
      <c r="D29" s="49"/>
    </row>
    <row r="30" spans="1:5" x14ac:dyDescent="0.25">
      <c r="A30" s="37" t="s">
        <v>66</v>
      </c>
      <c r="D30" s="49"/>
    </row>
    <row r="31" spans="1:5" x14ac:dyDescent="0.25">
      <c r="B31" s="38" t="s">
        <v>45</v>
      </c>
      <c r="C31" s="38" t="s">
        <v>62</v>
      </c>
      <c r="D31" s="49"/>
    </row>
    <row r="32" spans="1:5" x14ac:dyDescent="0.25">
      <c r="A32" s="1" t="s">
        <v>61</v>
      </c>
      <c r="B32" s="123">
        <f>2*2*31.5</f>
        <v>126</v>
      </c>
      <c r="C32" s="123">
        <f>2*2*31.5</f>
        <v>126</v>
      </c>
      <c r="D32" s="123">
        <f>2*2*31.5</f>
        <v>126</v>
      </c>
      <c r="E32" s="49" t="s">
        <v>65</v>
      </c>
    </row>
    <row r="33" spans="1:21" x14ac:dyDescent="0.25">
      <c r="A33" s="45" t="s">
        <v>200</v>
      </c>
      <c r="B33" s="43">
        <v>255</v>
      </c>
      <c r="C33" s="44">
        <v>510</v>
      </c>
      <c r="D33" s="44">
        <v>0</v>
      </c>
      <c r="E33" s="49" t="s">
        <v>63</v>
      </c>
    </row>
    <row r="34" spans="1:21" x14ac:dyDescent="0.25">
      <c r="A34" s="16" t="s">
        <v>60</v>
      </c>
      <c r="B34" s="123">
        <f>SUM(B32:B33)</f>
        <v>381</v>
      </c>
      <c r="C34" s="123">
        <f>SUM(C32:C33)</f>
        <v>636</v>
      </c>
      <c r="D34" s="123">
        <f>SUM(D32:D33)</f>
        <v>126</v>
      </c>
    </row>
    <row r="35" spans="1:21" x14ac:dyDescent="0.25">
      <c r="A35" s="26"/>
      <c r="D35" s="49"/>
    </row>
    <row r="36" spans="1:21" x14ac:dyDescent="0.25">
      <c r="A36" s="36" t="s">
        <v>72</v>
      </c>
      <c r="D36" s="49"/>
    </row>
    <row r="37" spans="1:21" x14ac:dyDescent="0.25">
      <c r="A37" s="1" t="s">
        <v>71</v>
      </c>
    </row>
    <row r="38" spans="1:21" ht="16.5" thickBot="1" x14ac:dyDescent="0.3"/>
    <row r="39" spans="1:21" x14ac:dyDescent="0.25">
      <c r="A39" s="132" t="s">
        <v>190</v>
      </c>
    </row>
    <row r="40" spans="1:21" ht="16.5" thickBot="1" x14ac:dyDescent="0.3">
      <c r="A40" s="133" t="s">
        <v>191</v>
      </c>
    </row>
    <row r="41" spans="1:21" ht="16.5" thickBot="1" x14ac:dyDescent="0.3">
      <c r="A41" s="131" t="s">
        <v>193</v>
      </c>
    </row>
    <row r="42" spans="1:21" ht="16.5" thickBot="1" x14ac:dyDescent="0.3"/>
    <row r="43" spans="1:21" x14ac:dyDescent="0.25">
      <c r="A43" s="134" t="s">
        <v>194</v>
      </c>
    </row>
    <row r="44" spans="1:21" ht="16.5" thickBot="1" x14ac:dyDescent="0.3">
      <c r="A44" s="135">
        <v>43831</v>
      </c>
    </row>
    <row r="45" spans="1:21" x14ac:dyDescent="0.25">
      <c r="A45" s="1" t="s">
        <v>95</v>
      </c>
      <c r="B45" s="137">
        <v>365</v>
      </c>
      <c r="C45" s="137">
        <v>365</v>
      </c>
      <c r="D45" s="137">
        <v>365</v>
      </c>
      <c r="E45" s="137">
        <v>365</v>
      </c>
      <c r="F45" s="137">
        <v>365</v>
      </c>
      <c r="G45" s="137">
        <v>365</v>
      </c>
      <c r="H45" s="137">
        <v>365</v>
      </c>
      <c r="I45" s="137">
        <v>365</v>
      </c>
      <c r="J45" s="137">
        <v>365</v>
      </c>
      <c r="K45" s="137">
        <v>365</v>
      </c>
      <c r="L45" s="137">
        <v>365</v>
      </c>
      <c r="M45" s="137">
        <v>365</v>
      </c>
      <c r="N45" s="137">
        <v>365</v>
      </c>
      <c r="O45" s="130">
        <f t="shared" ref="O45:U45" si="2">$A$44-O3</f>
        <v>308</v>
      </c>
      <c r="P45" s="130">
        <f t="shared" si="2"/>
        <v>296</v>
      </c>
      <c r="Q45" s="130">
        <f t="shared" si="2"/>
        <v>286</v>
      </c>
      <c r="R45" s="130">
        <f t="shared" si="2"/>
        <v>286</v>
      </c>
      <c r="S45" s="130">
        <f t="shared" si="2"/>
        <v>270</v>
      </c>
      <c r="T45" s="130">
        <f t="shared" si="2"/>
        <v>275</v>
      </c>
      <c r="U45" s="130">
        <f t="shared" si="2"/>
        <v>268</v>
      </c>
    </row>
  </sheetData>
  <mergeCells count="1">
    <mergeCell ref="B18:C1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056</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99CA636-19AB-42E0-959F-742692483F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83072E-3804-4698-92E8-CC2486C4B4BF}"/>
</file>

<file path=customXml/itemProps3.xml><?xml version="1.0" encoding="utf-8"?>
<ds:datastoreItem xmlns:ds="http://schemas.openxmlformats.org/officeDocument/2006/customXml" ds:itemID="{1A7DC4BD-AD10-4774-B478-D45085658592}"/>
</file>

<file path=customXml/itemProps4.xml><?xml version="1.0" encoding="utf-8"?>
<ds:datastoreItem xmlns:ds="http://schemas.openxmlformats.org/officeDocument/2006/customXml" ds:itemID="{AFD6AAD7-8BC0-4FA3-8874-1087FED4E261}"/>
</file>

<file path=customXml/itemProps5.xml><?xml version="1.0" encoding="utf-8"?>
<ds:datastoreItem xmlns:ds="http://schemas.openxmlformats.org/officeDocument/2006/customXml" ds:itemID="{CA9F3A72-76F0-4E42-BF75-A224D218C9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KU Rate Summary</vt:lpstr>
      <vt:lpstr>LGE Rate Summary</vt:lpstr>
      <vt:lpstr>CCS_Inputs</vt:lpstr>
      <vt:lpstr>ECR FAC TCJA</vt:lpstr>
      <vt:lpstr>WACC - Carrying Charges</vt:lpstr>
      <vt:lpstr>2019 EV Usage Data</vt:lpstr>
      <vt:lpstr>Costs_Reference</vt:lpstr>
      <vt:lpstr>'KU Rate Summary'!Print_Area</vt:lpstr>
      <vt:lpstr>'LGE Rate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Shakespere Poles</dc:title>
  <dc:subject>Historic Decoative Poles</dc:subject>
  <dc:creator>LG&amp;E</dc:creator>
  <cp:lastModifiedBy>Griffin, Amber</cp:lastModifiedBy>
  <cp:lastPrinted>2020-11-19T06:59:31Z</cp:lastPrinted>
  <dcterms:created xsi:type="dcterms:W3CDTF">1998-12-11T20:03:45Z</dcterms:created>
  <dcterms:modified xsi:type="dcterms:W3CDTF">2020-12-02T16:05:15Z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dee1c6-0c13-46fe-9f7d-d5b32ad2c571_Enabled">
    <vt:lpwstr>true</vt:lpwstr>
  </property>
  <property fmtid="{D5CDD505-2E9C-101B-9397-08002B2CF9AE}" pid="3" name="MSIP_Label_0adee1c6-0c13-46fe-9f7d-d5b32ad2c571_SetDate">
    <vt:lpwstr>2020-10-16T14:32:00Z</vt:lpwstr>
  </property>
  <property fmtid="{D5CDD505-2E9C-101B-9397-08002B2CF9AE}" pid="4" name="MSIP_Label_0adee1c6-0c13-46fe-9f7d-d5b32ad2c571_Method">
    <vt:lpwstr>Privileged</vt:lpwstr>
  </property>
  <property fmtid="{D5CDD505-2E9C-101B-9397-08002B2CF9AE}" pid="5" name="MSIP_Label_0adee1c6-0c13-46fe-9f7d-d5b32ad2c571_Name">
    <vt:lpwstr>0adee1c6-0c13-46fe-9f7d-d5b32ad2c571</vt:lpwstr>
  </property>
  <property fmtid="{D5CDD505-2E9C-101B-9397-08002B2CF9AE}" pid="6" name="MSIP_Label_0adee1c6-0c13-46fe-9f7d-d5b32ad2c571_SiteId">
    <vt:lpwstr>5ee3b0ba-a559-45ee-a69e-6d3e963a3e72</vt:lpwstr>
  </property>
  <property fmtid="{D5CDD505-2E9C-101B-9397-08002B2CF9AE}" pid="7" name="MSIP_Label_0adee1c6-0c13-46fe-9f7d-d5b32ad2c571_ActionId">
    <vt:lpwstr>930d9519-7445-44d7-a495-1fe775c51c4f</vt:lpwstr>
  </property>
  <property fmtid="{D5CDD505-2E9C-101B-9397-08002B2CF9AE}" pid="8" name="MSIP_Label_0adee1c6-0c13-46fe-9f7d-d5b32ad2c571_ContentBits">
    <vt:lpwstr>0</vt:lpwstr>
  </property>
  <property fmtid="{D5CDD505-2E9C-101B-9397-08002B2CF9AE}" pid="9" name="ContentTypeId">
    <vt:lpwstr>0x0101002D0103853DF7894DB347713A7250CD66</vt:lpwstr>
  </property>
</Properties>
</file>